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DamRemoval\RISE\"/>
    </mc:Choice>
  </mc:AlternateContent>
  <xr:revisionPtr revIDLastSave="0" documentId="13_ncr:1_{17A826C3-7242-4F26-9113-4AE284643187}" xr6:coauthVersionLast="47" xr6:coauthVersionMax="47" xr10:uidLastSave="{00000000-0000-0000-0000-000000000000}"/>
  <bookViews>
    <workbookView xWindow="-110" yWindow="-110" windowWidth="19420" windowHeight="10420" activeTab="1" xr2:uid="{95A31FAF-DC97-402C-B16F-EAE9CBB879EB}"/>
  </bookViews>
  <sheets>
    <sheet name="Readme" sheetId="9" r:id="rId1"/>
    <sheet name="Documentation" sheetId="8" r:id="rId2"/>
    <sheet name="Total Cost Summary" sheetId="1" r:id="rId3"/>
    <sheet name="Dam Removal Cost" sheetId="2" r:id="rId4"/>
    <sheet name="Reservoir Sed Mgt &amp; Mit Cost" sheetId="5" r:id="rId5"/>
    <sheet name="Downstream Mitigation Cost" sheetId="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 l="1"/>
  <c r="A7" i="3"/>
  <c r="A42" i="2"/>
  <c r="A40" i="2"/>
  <c r="A36" i="2"/>
  <c r="A34" i="2"/>
  <c r="A33" i="2"/>
  <c r="A32" i="2"/>
  <c r="A28" i="2"/>
  <c r="A25" i="2"/>
  <c r="A22" i="2"/>
  <c r="F12" i="5"/>
  <c r="D11" i="5"/>
  <c r="D51" i="5"/>
  <c r="D53" i="5" s="1"/>
  <c r="C7" i="1"/>
  <c r="C8" i="1"/>
  <c r="A1" i="3"/>
  <c r="A1" i="5"/>
  <c r="A1" i="2"/>
  <c r="F29" i="5" l="1"/>
  <c r="D34" i="5"/>
  <c r="D36" i="5" s="1"/>
  <c r="F33" i="3"/>
  <c r="F7" i="3"/>
  <c r="D12" i="3"/>
  <c r="D14" i="3" s="1"/>
  <c r="A29" i="5" l="1"/>
  <c r="F46" i="5"/>
  <c r="A46" i="5" l="1"/>
  <c r="F43" i="5"/>
  <c r="A43" i="5" s="1"/>
  <c r="F27" i="5"/>
  <c r="A27" i="5" s="1"/>
  <c r="F36" i="2"/>
  <c r="F38" i="5"/>
  <c r="A38" i="5" s="1"/>
  <c r="I57" i="5"/>
  <c r="I58" i="5"/>
  <c r="I15" i="2"/>
  <c r="F54" i="2"/>
  <c r="A54" i="2" l="1"/>
  <c r="F42" i="3" l="1"/>
  <c r="F16" i="2"/>
  <c r="A16" i="2" s="1"/>
  <c r="F28" i="5"/>
  <c r="A28" i="5" s="1"/>
  <c r="F15" i="2"/>
  <c r="A15" i="2" s="1"/>
  <c r="F44" i="2"/>
  <c r="A44" i="2" s="1"/>
  <c r="A42" i="3" l="1"/>
  <c r="F58" i="2" l="1"/>
  <c r="A58" i="2" s="1"/>
  <c r="F45" i="3"/>
  <c r="A45" i="3" s="1"/>
  <c r="F44" i="3"/>
  <c r="A44" i="3" s="1"/>
  <c r="F43" i="3"/>
  <c r="A43" i="3" s="1"/>
  <c r="F56" i="3"/>
  <c r="F55" i="3"/>
  <c r="F54" i="3"/>
  <c r="F53" i="3"/>
  <c r="F52" i="3"/>
  <c r="F67" i="5"/>
  <c r="F66" i="5"/>
  <c r="F65" i="5"/>
  <c r="F64" i="5"/>
  <c r="F63" i="5"/>
  <c r="F73" i="2"/>
  <c r="F72" i="2"/>
  <c r="F71" i="2"/>
  <c r="F70" i="2"/>
  <c r="F69" i="2"/>
  <c r="D31" i="3"/>
  <c r="D30" i="3"/>
  <c r="D29" i="3"/>
  <c r="D28" i="3"/>
  <c r="D26" i="3"/>
  <c r="D25" i="3"/>
  <c r="D24" i="3"/>
  <c r="D23" i="3"/>
  <c r="D22" i="3"/>
  <c r="D21" i="3"/>
  <c r="D20" i="3"/>
  <c r="D19" i="3"/>
  <c r="D22" i="5" l="1"/>
  <c r="D18" i="5"/>
  <c r="D17" i="5"/>
  <c r="D16" i="5"/>
  <c r="F18" i="5"/>
  <c r="F60" i="5"/>
  <c r="A60" i="5" s="1"/>
  <c r="F59" i="5"/>
  <c r="A59" i="5" s="1"/>
  <c r="F58" i="5"/>
  <c r="A58" i="5" s="1"/>
  <c r="F57" i="5"/>
  <c r="A57" i="5" s="1"/>
  <c r="F44" i="5"/>
  <c r="A44" i="5" s="1"/>
  <c r="F42" i="5"/>
  <c r="A42" i="5" s="1"/>
  <c r="F41" i="5"/>
  <c r="A41" i="5" s="1"/>
  <c r="F26" i="5"/>
  <c r="A26" i="5" s="1"/>
  <c r="F25" i="5"/>
  <c r="A25" i="5" s="1"/>
  <c r="F22" i="5"/>
  <c r="F21" i="5"/>
  <c r="A21" i="5" s="1"/>
  <c r="F20" i="5"/>
  <c r="A20" i="5" s="1"/>
  <c r="F17" i="5"/>
  <c r="F16" i="5"/>
  <c r="F11" i="5"/>
  <c r="F10" i="5"/>
  <c r="A10" i="5" s="1"/>
  <c r="F8" i="5"/>
  <c r="A8" i="5" s="1"/>
  <c r="F7" i="5"/>
  <c r="A7" i="5" s="1"/>
  <c r="F6" i="5"/>
  <c r="A6" i="5" s="1"/>
  <c r="A31" i="3"/>
  <c r="A30" i="3"/>
  <c r="A29" i="3"/>
  <c r="A28" i="3"/>
  <c r="I26" i="3"/>
  <c r="A20" i="3"/>
  <c r="I25" i="3"/>
  <c r="A25" i="3" s="1"/>
  <c r="I24" i="3"/>
  <c r="A24" i="3" s="1"/>
  <c r="I23" i="3"/>
  <c r="A23" i="3"/>
  <c r="I21" i="3"/>
  <c r="A21" i="3" s="1"/>
  <c r="I20" i="3"/>
  <c r="I22" i="3"/>
  <c r="A22" i="3" s="1"/>
  <c r="I19" i="3"/>
  <c r="A19" i="3" s="1"/>
  <c r="F17" i="3"/>
  <c r="A66" i="2"/>
  <c r="F18" i="2"/>
  <c r="A18" i="2" s="1"/>
  <c r="F49" i="3"/>
  <c r="F47" i="3"/>
  <c r="F46" i="3"/>
  <c r="F41" i="3"/>
  <c r="F38" i="3"/>
  <c r="A38" i="3" s="1"/>
  <c r="F37" i="3"/>
  <c r="A37" i="3" s="1"/>
  <c r="F36" i="3"/>
  <c r="A36" i="3" s="1"/>
  <c r="F35" i="3"/>
  <c r="A35" i="3" s="1"/>
  <c r="F27" i="3"/>
  <c r="A26" i="3"/>
  <c r="F6" i="3"/>
  <c r="I39" i="2"/>
  <c r="F40" i="2" s="1"/>
  <c r="I4" i="2"/>
  <c r="F31" i="2" s="1"/>
  <c r="F64" i="2"/>
  <c r="F62" i="2"/>
  <c r="F60" i="2"/>
  <c r="F57" i="2"/>
  <c r="F56" i="2"/>
  <c r="A56" i="2" s="1"/>
  <c r="F55" i="2"/>
  <c r="F53" i="2"/>
  <c r="F52" i="2"/>
  <c r="A52" i="2" s="1"/>
  <c r="F51" i="2"/>
  <c r="F50" i="2"/>
  <c r="F47" i="2"/>
  <c r="A46" i="2" s="1"/>
  <c r="F43" i="2"/>
  <c r="A43" i="2" s="1"/>
  <c r="F13" i="2"/>
  <c r="A13" i="2" s="1"/>
  <c r="F11" i="2"/>
  <c r="F10" i="2"/>
  <c r="F9" i="2"/>
  <c r="F8" i="2"/>
  <c r="F7" i="2"/>
  <c r="A7" i="2" l="1"/>
  <c r="A11" i="5"/>
  <c r="A16" i="5"/>
  <c r="A17" i="5"/>
  <c r="A18" i="5"/>
  <c r="A22" i="5"/>
  <c r="F41" i="2"/>
  <c r="A41" i="2" s="1"/>
  <c r="F42" i="2"/>
  <c r="F32" i="2"/>
  <c r="F33" i="2"/>
  <c r="F34" i="2"/>
  <c r="F26" i="2"/>
  <c r="F22" i="2"/>
  <c r="F23" i="2"/>
  <c r="F25" i="2"/>
  <c r="F28" i="2"/>
  <c r="F29" i="2"/>
  <c r="A62" i="5" l="1"/>
  <c r="A63" i="5" s="1"/>
  <c r="A49" i="3"/>
  <c r="A47" i="3"/>
  <c r="A46" i="3"/>
  <c r="B27" i="5" l="1"/>
  <c r="B43" i="5"/>
  <c r="B28" i="5"/>
  <c r="B38" i="5"/>
  <c r="B18" i="5"/>
  <c r="B59" i="5"/>
  <c r="B44" i="5"/>
  <c r="B25" i="5"/>
  <c r="B10" i="5"/>
  <c r="B6" i="5"/>
  <c r="B22" i="5"/>
  <c r="B42" i="5"/>
  <c r="B57" i="5"/>
  <c r="B20" i="5"/>
  <c r="B11" i="5"/>
  <c r="B8" i="5"/>
  <c r="B41" i="5"/>
  <c r="B7" i="5"/>
  <c r="B29" i="5"/>
  <c r="B58" i="5"/>
  <c r="B21" i="5"/>
  <c r="B26" i="5"/>
  <c r="B60" i="5"/>
  <c r="B16" i="5"/>
  <c r="B17" i="5"/>
  <c r="B46" i="5"/>
  <c r="A31" i="2"/>
  <c r="A23" i="2"/>
  <c r="C9" i="1"/>
  <c r="A41" i="3"/>
  <c r="A62" i="2"/>
  <c r="A64" i="2"/>
  <c r="A29" i="2"/>
  <c r="A26" i="2"/>
  <c r="A6" i="3"/>
  <c r="A60" i="2"/>
  <c r="A57" i="2"/>
  <c r="A51" i="2"/>
  <c r="A55" i="2"/>
  <c r="A53" i="2"/>
  <c r="A50" i="2"/>
  <c r="A11" i="2"/>
  <c r="A9" i="2"/>
  <c r="A65" i="5" l="1"/>
  <c r="A64" i="5"/>
  <c r="A68" i="2"/>
  <c r="B62" i="5"/>
  <c r="A51" i="3"/>
  <c r="A69" i="2" l="1"/>
  <c r="A71" i="2" s="1"/>
  <c r="B68" i="2"/>
  <c r="B42" i="3"/>
  <c r="A52" i="3"/>
  <c r="A54" i="3" s="1"/>
  <c r="B16" i="2"/>
  <c r="B54" i="2"/>
  <c r="B15" i="2"/>
  <c r="B36" i="2"/>
  <c r="B43" i="2"/>
  <c r="B44" i="2"/>
  <c r="B58" i="2"/>
  <c r="A66" i="5"/>
  <c r="A67" i="5" s="1"/>
  <c r="B43" i="3"/>
  <c r="B44" i="3"/>
  <c r="B45" i="3"/>
  <c r="B38" i="3"/>
  <c r="B37" i="3"/>
  <c r="B36" i="3"/>
  <c r="B35" i="3"/>
  <c r="B31" i="3"/>
  <c r="B24" i="3"/>
  <c r="B23" i="3"/>
  <c r="B30" i="3"/>
  <c r="B22" i="3"/>
  <c r="B21" i="3"/>
  <c r="B29" i="3"/>
  <c r="B20" i="3"/>
  <c r="B28" i="3"/>
  <c r="B18" i="2"/>
  <c r="B66" i="2"/>
  <c r="B25" i="3"/>
  <c r="B52" i="2"/>
  <c r="B56" i="2"/>
  <c r="B25" i="2"/>
  <c r="B34" i="2"/>
  <c r="B29" i="2"/>
  <c r="B32" i="2"/>
  <c r="B42" i="2"/>
  <c r="B41" i="2"/>
  <c r="B22" i="2"/>
  <c r="B46" i="2"/>
  <c r="B28" i="2"/>
  <c r="B62" i="2"/>
  <c r="B53" i="2"/>
  <c r="B64" i="2"/>
  <c r="B50" i="2"/>
  <c r="B31" i="2"/>
  <c r="B60" i="2"/>
  <c r="B7" i="2"/>
  <c r="B33" i="2"/>
  <c r="B11" i="2"/>
  <c r="B26" i="2"/>
  <c r="B57" i="2"/>
  <c r="B55" i="2"/>
  <c r="B40" i="2"/>
  <c r="B9" i="2"/>
  <c r="B51" i="2"/>
  <c r="B23" i="2"/>
  <c r="B13" i="2"/>
  <c r="B6" i="3"/>
  <c r="B26" i="3"/>
  <c r="B47" i="3"/>
  <c r="B46" i="3"/>
  <c r="B49" i="3"/>
  <c r="B41" i="3"/>
  <c r="B7" i="3"/>
  <c r="B19" i="3"/>
  <c r="A70" i="2" l="1"/>
  <c r="A72" i="2" s="1"/>
  <c r="A53" i="3"/>
  <c r="A55" i="3" s="1"/>
  <c r="B51" i="3"/>
  <c r="A73" i="2" l="1"/>
  <c r="A74" i="2" s="1"/>
  <c r="A7" i="1" s="1"/>
  <c r="A56" i="3"/>
  <c r="A57" i="3" s="1"/>
  <c r="A9" i="1" s="1"/>
  <c r="A58" i="3" l="1"/>
  <c r="A59" i="3"/>
  <c r="A75" i="2" l="1"/>
  <c r="A76" i="2"/>
  <c r="A68" i="5"/>
  <c r="A8" i="1" s="1"/>
  <c r="A10" i="1" l="1"/>
  <c r="A70" i="5"/>
  <c r="A69" i="5"/>
  <c r="A11" i="1" l="1"/>
  <c r="B8" i="1"/>
  <c r="A12" i="1"/>
  <c r="B7" i="1"/>
  <c r="B9" i="1"/>
  <c r="A13" i="1" l="1"/>
  <c r="B10" i="1"/>
  <c r="A14" i="1" l="1"/>
  <c r="A15" i="1"/>
</calcChain>
</file>

<file path=xl/sharedStrings.xml><?xml version="1.0" encoding="utf-8"?>
<sst xmlns="http://schemas.openxmlformats.org/spreadsheetml/2006/main" count="541" uniqueCount="282">
  <si>
    <t xml:space="preserve">_________________ Dam Removal </t>
  </si>
  <si>
    <t>Password:</t>
  </si>
  <si>
    <t>drcet</t>
  </si>
  <si>
    <t>Preliminary Cost Estimate</t>
  </si>
  <si>
    <t>Total Cost Summary</t>
  </si>
  <si>
    <t>Cost</t>
  </si>
  <si>
    <t>Portion of Total</t>
  </si>
  <si>
    <t>Cost Category</t>
  </si>
  <si>
    <t>Notes</t>
  </si>
  <si>
    <t>References</t>
  </si>
  <si>
    <t>Location cost factor</t>
  </si>
  <si>
    <t>Account for higher costs at certain locations</t>
  </si>
  <si>
    <t>Annual cost index factor</t>
  </si>
  <si>
    <t>Account for inflation of unit costs from a prior year</t>
  </si>
  <si>
    <t>Subtotal</t>
  </si>
  <si>
    <t>Non-contract costs: design, permitting, and engineering oversight of construction</t>
  </si>
  <si>
    <t>30% to 60%</t>
  </si>
  <si>
    <t>Litigation &amp; stakeholder tension studies</t>
  </si>
  <si>
    <t xml:space="preserve">  0% to 30%</t>
  </si>
  <si>
    <t>Peter Haug, December 14, 2020</t>
  </si>
  <si>
    <t>Most Probable Total Construction Cost</t>
  </si>
  <si>
    <t>Probable Low Construction Cost (-50%)</t>
  </si>
  <si>
    <t>Probable High Construction Cost (+100%)</t>
  </si>
  <si>
    <t xml:space="preserve">Dam Removal Cost </t>
  </si>
  <si>
    <t>Removal of the Dam and Associated Structures</t>
  </si>
  <si>
    <t>User input cells</t>
  </si>
  <si>
    <t>No</t>
  </si>
  <si>
    <t>Crane use (Yes or No)?</t>
  </si>
  <si>
    <t>Quantity</t>
  </si>
  <si>
    <t>Units</t>
  </si>
  <si>
    <t>Unit Price Used</t>
  </si>
  <si>
    <t>Unit Price Override</t>
  </si>
  <si>
    <t>Default Unit Price</t>
  </si>
  <si>
    <t>Construction access</t>
  </si>
  <si>
    <t xml:space="preserve">Use existing roads and </t>
  </si>
  <si>
    <t>miles</t>
  </si>
  <si>
    <t>/mi</t>
  </si>
  <si>
    <t>Assume maintenance grading only; job duration dependent, asuume 6 months x 4 x per month</t>
  </si>
  <si>
    <t>bridges</t>
  </si>
  <si>
    <t>Bridges</t>
  </si>
  <si>
    <t>/bridge</t>
  </si>
  <si>
    <t>Upgrade existing roads and</t>
  </si>
  <si>
    <t>all bridges are different (span and type)</t>
  </si>
  <si>
    <t xml:space="preserve">Construction of new roads and </t>
  </si>
  <si>
    <t>Assume surface at $200k/mi, earthwork at $500k/mile</t>
  </si>
  <si>
    <t xml:space="preserve">Range of bridge prices would be helpful, Assume </t>
  </si>
  <si>
    <t>RSM 32 34 10 0500; assume 50 tons @ $5300/ton x 1.5 = ~ $8000/ton; add $750,000 for abutments</t>
  </si>
  <si>
    <t>Use helicopters (cumulative payload)</t>
  </si>
  <si>
    <t>tons</t>
  </si>
  <si>
    <t>/ton/mile</t>
  </si>
  <si>
    <t>Based on the removal of Bluebird Dam</t>
  </si>
  <si>
    <t>Haul distance</t>
  </si>
  <si>
    <t>Site clearing</t>
  </si>
  <si>
    <t>acres</t>
  </si>
  <si>
    <t>/acre</t>
  </si>
  <si>
    <t>RSM 31 11 10.10 0020, plus 20%</t>
  </si>
  <si>
    <t>Traffic control and pavement</t>
  </si>
  <si>
    <t>project</t>
  </si>
  <si>
    <t>/project</t>
  </si>
  <si>
    <t>May be 2 to 5% of total cost</t>
  </si>
  <si>
    <t>Replacement highway bridge to provide access previously provided by the dam</t>
  </si>
  <si>
    <t>Double temp bridge, assume 100 tons</t>
  </si>
  <si>
    <t>Removal of dam materials</t>
  </si>
  <si>
    <t>Concrete with heavily reinforced</t>
  </si>
  <si>
    <r>
      <t>yd</t>
    </r>
    <r>
      <rPr>
        <vertAlign val="superscript"/>
        <sz val="11"/>
        <color theme="1"/>
        <rFont val="Calibri"/>
        <family val="2"/>
        <scheme val="minor"/>
      </rPr>
      <t>3</t>
    </r>
    <r>
      <rPr>
        <sz val="11"/>
        <color theme="1"/>
        <rFont val="Calibri"/>
        <family val="2"/>
        <scheme val="minor"/>
      </rPr>
      <t xml:space="preserve"> </t>
    </r>
  </si>
  <si>
    <t>Drill and blast</t>
  </si>
  <si>
    <r>
      <t>/yd</t>
    </r>
    <r>
      <rPr>
        <vertAlign val="superscript"/>
        <sz val="11"/>
        <color theme="1"/>
        <rFont val="Calibri"/>
        <family val="2"/>
        <scheme val="minor"/>
      </rPr>
      <t>3</t>
    </r>
    <r>
      <rPr>
        <sz val="11"/>
        <color theme="1"/>
        <rFont val="Calibri"/>
        <family val="2"/>
        <scheme val="minor"/>
      </rPr>
      <t xml:space="preserve"> </t>
    </r>
  </si>
  <si>
    <t>Unit prices would be different for low versus high dams</t>
  </si>
  <si>
    <t>Previous est. for tunnel; $325 to $450/CY 2019; assume smaller qty; use $450 x 1.05^3 = ~$520/CY; add 20% for heavy reinf (RSM factor)</t>
  </si>
  <si>
    <t>Excavators</t>
  </si>
  <si>
    <t>Est. cost history Q4 escal.</t>
  </si>
  <si>
    <t>Concrete with lightly reinforced</t>
  </si>
  <si>
    <t>Previous est. for tunnel; $325 to $450/CY 2019; assume smaller qty; use $450 x 1.05^3 = ~$520/CY; add 10% for light reinf.</t>
  </si>
  <si>
    <t>Concrete without reinforcement</t>
  </si>
  <si>
    <t>Previous est. for tunnel; $325 to $450/CY 2019; assume smaller qty; use $450 x 1.05^3 = ~$520/CY; add 0% for no reinf</t>
  </si>
  <si>
    <t xml:space="preserve">Earth </t>
  </si>
  <si>
    <t>Comparable to recent cost est. history</t>
  </si>
  <si>
    <t>Rock or masonry</t>
  </si>
  <si>
    <t>Recent cost est. history</t>
  </si>
  <si>
    <t>Timber structures</t>
  </si>
  <si>
    <t>RSM 2019 02 41 13.74 2000 Tmber piles to 14" dia., ~$13.30/CF x 27 = $360/CY</t>
  </si>
  <si>
    <t>Steel structures (outlet pipes, gates, valves, stairways)</t>
  </si>
  <si>
    <t>/ton</t>
  </si>
  <si>
    <t>2022 RSM 05 05 05.10 0390  escal. 5%</t>
  </si>
  <si>
    <t>Core wall and sheet pile wall removal</t>
  </si>
  <si>
    <t>RSM 03 05 05.10 (0060-0070)</t>
  </si>
  <si>
    <t>Removal of powerhouse, buildings, and other structures</t>
  </si>
  <si>
    <t>Hazardous materials present?</t>
  </si>
  <si>
    <t>Hazardous waste multiplier</t>
  </si>
  <si>
    <t>Concrete building volume</t>
  </si>
  <si>
    <t>assumes 20 mile haul</t>
  </si>
  <si>
    <t>2022 RSM 02 41 16.13 0050; add 5% publishing lag</t>
  </si>
  <si>
    <t>Steel building volume</t>
  </si>
  <si>
    <t>2022 RSM 02 41 16.13 0020; add 5% publishing lag</t>
  </si>
  <si>
    <t>Wood building volume</t>
  </si>
  <si>
    <t>2022 RSM 02 41 16.13 0700; add 5% publishing lag</t>
  </si>
  <si>
    <t>Mechanical equipment (turbines, generators)</t>
  </si>
  <si>
    <t>2022 RSM 05 05 05.10 0270  escal. 5% publishing lag</t>
  </si>
  <si>
    <t>Bridge and other structures</t>
  </si>
  <si>
    <t>Structure</t>
  </si>
  <si>
    <t>/structure</t>
  </si>
  <si>
    <t>Transport of building materials</t>
  </si>
  <si>
    <r>
      <t>/yd</t>
    </r>
    <r>
      <rPr>
        <vertAlign val="superscript"/>
        <sz val="11"/>
        <color theme="1"/>
        <rFont val="Calibri"/>
        <family val="2"/>
        <scheme val="minor"/>
      </rPr>
      <t>3</t>
    </r>
    <r>
      <rPr>
        <sz val="11"/>
        <color theme="1"/>
        <rFont val="Calibri"/>
        <family val="2"/>
        <scheme val="minor"/>
      </rPr>
      <t>/mile</t>
    </r>
  </si>
  <si>
    <t>2022 RSM 02 41 19.5100 escal. 5% publishing lag</t>
  </si>
  <si>
    <t>Diversion and care of stream flows</t>
  </si>
  <si>
    <t>Flow through or over structure during removal</t>
  </si>
  <si>
    <t>job</t>
  </si>
  <si>
    <t>/job</t>
  </si>
  <si>
    <t xml:space="preserve">Temporary pipe </t>
  </si>
  <si>
    <t>feet</t>
  </si>
  <si>
    <t>/ft</t>
  </si>
  <si>
    <t>Temporary pump operation</t>
  </si>
  <si>
    <t>pump</t>
  </si>
  <si>
    <t>/pump</t>
  </si>
  <si>
    <t>Low-head dam removals only</t>
  </si>
  <si>
    <t>Diversion channel construction</t>
  </si>
  <si>
    <t>Streambed and bank erosion control</t>
  </si>
  <si>
    <r>
      <t>yd</t>
    </r>
    <r>
      <rPr>
        <vertAlign val="superscript"/>
        <sz val="11"/>
        <color theme="1"/>
        <rFont val="Calibri"/>
        <family val="2"/>
        <scheme val="minor"/>
      </rPr>
      <t>2</t>
    </r>
    <r>
      <rPr>
        <sz val="11"/>
        <color theme="1"/>
        <rFont val="Calibri"/>
        <family val="2"/>
        <scheme val="minor"/>
      </rPr>
      <t xml:space="preserve"> </t>
    </r>
  </si>
  <si>
    <r>
      <t>/yd</t>
    </r>
    <r>
      <rPr>
        <vertAlign val="superscript"/>
        <sz val="11"/>
        <color theme="1"/>
        <rFont val="Calibri"/>
        <family val="2"/>
        <scheme val="minor"/>
      </rPr>
      <t>2</t>
    </r>
    <r>
      <rPr>
        <sz val="11"/>
        <color theme="1"/>
        <rFont val="Calibri"/>
        <family val="2"/>
        <scheme val="minor"/>
      </rPr>
      <t xml:space="preserve"> </t>
    </r>
  </si>
  <si>
    <t>RSM  31 37 13.10 0200</t>
  </si>
  <si>
    <t>Tunnel construction through abutment or dam</t>
  </si>
  <si>
    <t>Coffer dam earthen construction and removal</t>
  </si>
  <si>
    <t>Coffer dam steel construction and removal</t>
  </si>
  <si>
    <t>Provide fish passage during dam removal</t>
  </si>
  <si>
    <t>structures</t>
  </si>
  <si>
    <t>Revegetation around former dam site</t>
  </si>
  <si>
    <t>Demolition and possible relocation of utilities</t>
  </si>
  <si>
    <t>site</t>
  </si>
  <si>
    <t>/site</t>
  </si>
  <si>
    <t>Allowance</t>
  </si>
  <si>
    <t xml:space="preserve">Site security fencing </t>
  </si>
  <si>
    <t>Other (define here)</t>
  </si>
  <si>
    <t>Mobilization &amp; Demobilization</t>
  </si>
  <si>
    <t>Extra cost</t>
  </si>
  <si>
    <t>Design Contingencies/Unlisted Items</t>
  </si>
  <si>
    <t>Allowance for Procurement Strategy</t>
  </si>
  <si>
    <t>Contractor overhead and profit</t>
  </si>
  <si>
    <t>Increase percentage if a slow pace of dam removal is required by the contract</t>
  </si>
  <si>
    <t>Construction Contingencies</t>
  </si>
  <si>
    <t>Most Probable Construction Cost</t>
  </si>
  <si>
    <t>Reservoir Sediment Management &amp; Mitigation</t>
  </si>
  <si>
    <t>Reservoir sediment removal</t>
  </si>
  <si>
    <t>Clay and silt removal</t>
  </si>
  <si>
    <t xml:space="preserve">/yd3 </t>
  </si>
  <si>
    <t>Sand and gravel removal</t>
  </si>
  <si>
    <t>Transport distance</t>
  </si>
  <si>
    <r>
      <t>/mile/yd</t>
    </r>
    <r>
      <rPr>
        <vertAlign val="superscript"/>
        <sz val="11"/>
        <color theme="1"/>
        <rFont val="Calibri"/>
        <family val="2"/>
        <scheme val="minor"/>
      </rPr>
      <t>3</t>
    </r>
    <r>
      <rPr>
        <sz val="11"/>
        <color theme="1"/>
        <rFont val="Calibri"/>
        <family val="2"/>
        <scheme val="minor"/>
      </rPr>
      <t xml:space="preserve"> </t>
    </r>
  </si>
  <si>
    <t>Sediment placement site:</t>
  </si>
  <si>
    <r>
      <t>/yd</t>
    </r>
    <r>
      <rPr>
        <vertAlign val="superscript"/>
        <sz val="11"/>
        <color theme="1"/>
        <rFont val="Calibri"/>
        <family val="2"/>
        <scheme val="minor"/>
      </rPr>
      <t>3</t>
    </r>
    <r>
      <rPr>
        <sz val="11"/>
        <color theme="1"/>
        <rFont val="Calibri"/>
        <family val="2"/>
        <scheme val="minor"/>
      </rPr>
      <t xml:space="preserve">  </t>
    </r>
  </si>
  <si>
    <t>Site liner</t>
  </si>
  <si>
    <t>Credit for the for sale of disposed materials</t>
  </si>
  <si>
    <t>Site dewatering</t>
  </si>
  <si>
    <t>acre-ft</t>
  </si>
  <si>
    <t>/acre-ft</t>
  </si>
  <si>
    <t>Contaminated sediment management</t>
  </si>
  <si>
    <t>Testing</t>
  </si>
  <si>
    <t>tests</t>
  </si>
  <si>
    <t>/test</t>
  </si>
  <si>
    <t>Is testing cost significant? Number of tests is a function of volume and concern</t>
  </si>
  <si>
    <t>Additional sediment handling</t>
  </si>
  <si>
    <t>Site restoration</t>
  </si>
  <si>
    <t>Reservoir sediment stabilization</t>
  </si>
  <si>
    <t xml:space="preserve">Volume of new channel excavation </t>
  </si>
  <si>
    <r>
      <t>Exavator (2/yd</t>
    </r>
    <r>
      <rPr>
        <vertAlign val="superscript"/>
        <sz val="11"/>
        <color theme="1"/>
        <rFont val="Calibri"/>
        <family val="2"/>
        <scheme val="minor"/>
      </rPr>
      <t>3</t>
    </r>
    <r>
      <rPr>
        <sz val="11"/>
        <color theme="1"/>
        <rFont val="Calibri"/>
        <family val="2"/>
        <scheme val="minor"/>
      </rPr>
      <t>) and front-end loader ($3/yd</t>
    </r>
    <r>
      <rPr>
        <vertAlign val="superscript"/>
        <sz val="11"/>
        <color theme="1"/>
        <rFont val="Calibri"/>
        <family val="2"/>
        <scheme val="minor"/>
      </rPr>
      <t>3</t>
    </r>
    <r>
      <rPr>
        <sz val="11"/>
        <color theme="1"/>
        <rFont val="Calibri"/>
        <family val="2"/>
        <scheme val="minor"/>
      </rPr>
      <t>), and scraper ($1/yd</t>
    </r>
    <r>
      <rPr>
        <vertAlign val="superscript"/>
        <sz val="11"/>
        <color theme="1"/>
        <rFont val="Calibri"/>
        <family val="2"/>
        <scheme val="minor"/>
      </rPr>
      <t>3</t>
    </r>
    <r>
      <rPr>
        <sz val="11"/>
        <color theme="1"/>
        <rFont val="Calibri"/>
        <family val="2"/>
        <scheme val="minor"/>
      </rPr>
      <t>) RS Means 31 23 16.42 0305</t>
    </r>
  </si>
  <si>
    <t>Truck transport distance</t>
  </si>
  <si>
    <t>No truck transport</t>
  </si>
  <si>
    <t>Slope restoration</t>
  </si>
  <si>
    <t>RSM 31 22 16.10 (includes material)</t>
  </si>
  <si>
    <t>Surface erosion control</t>
  </si>
  <si>
    <t>RSM 31 25 14.16 0120</t>
  </si>
  <si>
    <t>Streambank protection in former reservoir</t>
  </si>
  <si>
    <t>Length of streambank protection</t>
  </si>
  <si>
    <t>Height of streambank protection</t>
  </si>
  <si>
    <t>ft</t>
  </si>
  <si>
    <t>Streambank side slope (z:1), Enter z value here</t>
  </si>
  <si>
    <t>Thickness of streambank protection</t>
  </si>
  <si>
    <t>Cross-sectional area of streambank protection</t>
  </si>
  <si>
    <r>
      <t>ft</t>
    </r>
    <r>
      <rPr>
        <vertAlign val="superscript"/>
        <sz val="11"/>
        <color theme="1"/>
        <rFont val="Calibri"/>
        <family val="2"/>
        <scheme val="minor"/>
      </rPr>
      <t>2</t>
    </r>
  </si>
  <si>
    <t>Number of streambanks to be protected (left, right, or both)</t>
  </si>
  <si>
    <t>banks</t>
  </si>
  <si>
    <t>Total volume of streambank protection</t>
  </si>
  <si>
    <r>
      <t>yd</t>
    </r>
    <r>
      <rPr>
        <vertAlign val="superscript"/>
        <sz val="11"/>
        <color theme="1"/>
        <rFont val="Calibri"/>
        <family val="2"/>
        <scheme val="minor"/>
      </rPr>
      <t>3</t>
    </r>
  </si>
  <si>
    <t>Fabric encapsulated soil</t>
  </si>
  <si>
    <t>Lost reservoir mitigation</t>
  </si>
  <si>
    <t>New well construction</t>
  </si>
  <si>
    <t>wells</t>
  </si>
  <si>
    <t>/well</t>
  </si>
  <si>
    <t>Road and Bridge modifications</t>
  </si>
  <si>
    <t>bridge</t>
  </si>
  <si>
    <t>Earthwork</t>
  </si>
  <si>
    <r>
      <t>/yd</t>
    </r>
    <r>
      <rPr>
        <vertAlign val="superscript"/>
        <sz val="11"/>
        <color theme="1"/>
        <rFont val="Calibri"/>
        <family val="2"/>
        <scheme val="minor"/>
      </rPr>
      <t>3</t>
    </r>
  </si>
  <si>
    <t>Utility relocation</t>
  </si>
  <si>
    <t>Upstream bank protection</t>
  </si>
  <si>
    <t>Reservoir revegetation</t>
  </si>
  <si>
    <t>Revegetation area</t>
  </si>
  <si>
    <t>topsoil and additives</t>
  </si>
  <si>
    <t>RSM 32 91 13.23 5200 (using on-site material)</t>
  </si>
  <si>
    <t>seeding or seedlings</t>
  </si>
  <si>
    <t xml:space="preserve">RSM 32 92 19.14 </t>
  </si>
  <si>
    <t>temporary irrigation</t>
  </si>
  <si>
    <t>Downstream Mitigation &amp; Monitoring</t>
  </si>
  <si>
    <t>River aggradation and bank erosion mitigation</t>
  </si>
  <si>
    <t>Levees</t>
  </si>
  <si>
    <t>Streambank protection for downstream channel</t>
  </si>
  <si>
    <t>Protection for existing water diversions for municipal, industrial, or environmental uses</t>
  </si>
  <si>
    <t xml:space="preserve">Maximum water diversion rate </t>
  </si>
  <si>
    <t>MGD =</t>
  </si>
  <si>
    <r>
      <t>ft</t>
    </r>
    <r>
      <rPr>
        <vertAlign val="superscript"/>
        <sz val="11"/>
        <color theme="1"/>
        <rFont val="Calibri"/>
        <family val="2"/>
        <scheme val="minor"/>
      </rPr>
      <t>3</t>
    </r>
    <r>
      <rPr>
        <sz val="11"/>
        <color theme="1"/>
        <rFont val="Calibri"/>
        <family val="2"/>
        <scheme val="minor"/>
      </rPr>
      <t>/s</t>
    </r>
  </si>
  <si>
    <t>Maximum rate that water is diverted</t>
  </si>
  <si>
    <t>New Construction (capital costs):</t>
  </si>
  <si>
    <t xml:space="preserve">Surface water gravity intake structure </t>
  </si>
  <si>
    <t>MGD</t>
  </si>
  <si>
    <t>/MGD</t>
  </si>
  <si>
    <t>function of water diversion flow rate</t>
  </si>
  <si>
    <t>Hydraulic control</t>
  </si>
  <si>
    <t>Fish passage</t>
  </si>
  <si>
    <t>Surface water pump intake structure</t>
  </si>
  <si>
    <t>Groundwater wells, including infiltration gallery</t>
  </si>
  <si>
    <t>Water treatment plant</t>
  </si>
  <si>
    <t>function of water treatment plant flow rate</t>
  </si>
  <si>
    <t>Upgrades to existing infrastructure (capital costs)</t>
  </si>
  <si>
    <t>Surface water gravity intake structure</t>
  </si>
  <si>
    <t>Water diversion operation and maintenance costs</t>
  </si>
  <si>
    <t>Average water diversion rate</t>
  </si>
  <si>
    <t>Informational calculation</t>
  </si>
  <si>
    <t>Number of years of operation</t>
  </si>
  <si>
    <t>years</t>
  </si>
  <si>
    <t>Surface water pumping</t>
  </si>
  <si>
    <t xml:space="preserve">Groundwater wells </t>
  </si>
  <si>
    <t xml:space="preserve">Water treatment plant </t>
  </si>
  <si>
    <t>River channel mitigation or improvements</t>
  </si>
  <si>
    <t>Relocation of fish, mussels, or clams</t>
  </si>
  <si>
    <t>Allowance for log jams, boulders, wetland development</t>
  </si>
  <si>
    <t>Rip rap</t>
  </si>
  <si>
    <t>Large rip rap &amp; boulders based on USBR cost history</t>
  </si>
  <si>
    <t>R-300 Rip-Rap - Siphon Stilling Basin</t>
  </si>
  <si>
    <t>Engineered riffles</t>
  </si>
  <si>
    <t>structure</t>
  </si>
  <si>
    <t>Engineered log jams</t>
  </si>
  <si>
    <t>logs</t>
  </si>
  <si>
    <t>/log</t>
  </si>
  <si>
    <t>Utility poles ($1,000 to $2,300/pole) RSM 33 71 16.33</t>
  </si>
  <si>
    <t>Large Wood Logs and Piles (Station 254+50 to Station 256+00)</t>
  </si>
  <si>
    <t>Other river habitat enhancement features</t>
  </si>
  <si>
    <t>Sediment removal or management</t>
  </si>
  <si>
    <t>Gravel augmentation</t>
  </si>
  <si>
    <t>Monitoring and adaptive management</t>
  </si>
  <si>
    <t>program</t>
  </si>
  <si>
    <t>/program</t>
  </si>
  <si>
    <t>Site containment grading</t>
  </si>
  <si>
    <t>Site containment berm or dike volume</t>
  </si>
  <si>
    <t>weed management</t>
  </si>
  <si>
    <t>berm or dike height</t>
  </si>
  <si>
    <t>berm or dike top width</t>
  </si>
  <si>
    <t>side slope (z:1), Enter z value here</t>
  </si>
  <si>
    <t>berm or dike perimeter length</t>
  </si>
  <si>
    <t>:1</t>
  </si>
  <si>
    <t>RISE catalog item details page: data.usbr.gov/catalog/7975/item/128528</t>
  </si>
  <si>
    <t>Publisher: Bureau of Reclamation</t>
  </si>
  <si>
    <t>Author: Al Jansen, Timothy Randle</t>
  </si>
  <si>
    <t>Date of Publication: 11-10-2023</t>
  </si>
  <si>
    <t>Summary: A new computation guide was developed to explore the planning-level construction cost for dam removal projects. This computation guide is not intended to replace agency-based cost estimating software or requirements.</t>
  </si>
  <si>
    <t>Title: S&amp;T Project 21084 Data: Cost Computation Guide</t>
  </si>
  <si>
    <t>Planning-Level Dam Removal Computation Guide for Cost Estimating</t>
  </si>
  <si>
    <t>The project scope and design determine the portion of dam removed, need for any replacement facilities, restoration of the former reservoir, and need of any downstream mitigation. The construction methods are determined by project requirements, constraints, and contractor capabilities. Quantities are determined by the project scope and engineering design.  Construction costs are a function of material types, construction methods, transportation, and local prices.</t>
  </si>
  <si>
    <t>Spreadsheet structure:</t>
  </si>
  <si>
    <t>The computational guide for cost estimating has been programmed in a spreadsheet with three worksheets (see below). Each worksheet includes many cost items that could possibly apply to a particular dam removal. However, only a portion of these cost items would likely apply to any one dam removal.</t>
  </si>
  <si>
    <r>
      <rPr>
        <u/>
        <sz val="11"/>
        <color theme="1"/>
        <rFont val="Calibri"/>
        <family val="2"/>
        <scheme val="minor"/>
      </rPr>
      <t>Total Cost Summary</t>
    </r>
    <r>
      <rPr>
        <sz val="11"/>
        <color theme="1"/>
        <rFont val="Calibri"/>
        <family val="2"/>
        <scheme val="minor"/>
      </rPr>
      <t xml:space="preserve"> combining the cost of dam and associated structures removal, reservoir sediment management, sediment mitigation, and downstream mitigation and monitoring</t>
    </r>
  </si>
  <si>
    <r>
      <rPr>
        <u/>
        <sz val="11"/>
        <color theme="1"/>
        <rFont val="Calibri"/>
        <family val="2"/>
        <scheme val="minor"/>
      </rPr>
      <t>Dam Removal Cost</t>
    </r>
    <r>
      <rPr>
        <sz val="11"/>
        <color theme="1"/>
        <rFont val="Calibri"/>
        <family val="2"/>
        <scheme val="minor"/>
      </rPr>
      <t xml:space="preserve"> including costs for the following:
o	Construction access
o	Roads and bridges
o	Removal of dam materials
o	Removal of powerhouse, buildings, and other structures
o	Transport and disposal of building materials
o	Diversion and care of stream flows
o	Revegetation around former dam site
o	Demolition and possible relocation of utilities
o	Site security fencing</t>
    </r>
  </si>
  <si>
    <r>
      <rPr>
        <u/>
        <sz val="11"/>
        <color theme="1"/>
        <rFont val="Calibri"/>
        <family val="2"/>
        <scheme val="minor"/>
      </rPr>
      <t xml:space="preserve">Reservoir Sediment Management &amp; Mitigation Cost </t>
    </r>
    <r>
      <rPr>
        <sz val="11"/>
        <color theme="1"/>
        <rFont val="Calibri"/>
        <family val="2"/>
        <scheme val="minor"/>
      </rPr>
      <t>including costs for the following activities:
o	Reservoir sediment removal
o	Reservoir sediment stabilization
o	Lost reservoir mitigation
o	Upstream bank protection
o	Reservoir revegetation</t>
    </r>
  </si>
  <si>
    <r>
      <rPr>
        <u/>
        <sz val="11"/>
        <color theme="1"/>
        <rFont val="Calibri"/>
        <family val="2"/>
        <scheme val="minor"/>
      </rPr>
      <t>Downstream Mitigation &amp; Monitoring Cost</t>
    </r>
    <r>
      <rPr>
        <sz val="11"/>
        <color theme="1"/>
        <rFont val="Calibri"/>
        <family val="2"/>
        <scheme val="minor"/>
      </rPr>
      <t xml:space="preserve"> including costs for the following activities:
o	River aggradation and bank erosion mitigation
o	Protection for existing water diversions for municipal, industrial, or environmental uses
o	River channel mitigation or improvements
o	Monitoring and adaptive management</t>
    </r>
  </si>
  <si>
    <t xml:space="preserve">The dam removal cost-estimating tool was developed to help provide preliminary cost estimate guidance for dam removal, reservoir mitigation, and downstream mitigation. Use of this Computational Guide requires some knowledge of the project scope and design, construction means and methods, quantities, and unit costs. </t>
  </si>
  <si>
    <t>Spreadsheet Inputs:</t>
  </si>
  <si>
    <t>In addition to the name of the dam removal project, spreadsheet inputs include the quantities (column D) and unit prices (column H) for each cost item. All input cells are highlighted in blue, while other cells with formulas are protected. Default unit prices are provided as an initial suggestion where site-specific data may not be readily available. Using column H of the worksheets, the user can easily override individual default values with site-specific data and is encouraged to do so. The user is also encouraged to enter notes and references for each cost item. The user may unprotect individual worksheets to customize the cost estimate for each dam removal. To unprotect a given worksheet, select “Unprotect Sheet” from the “Review” tab. The password is “drcet“</t>
  </si>
  <si>
    <t>Cost Summary Results:</t>
  </si>
  <si>
    <t xml:space="preserve">
For each worksheet, the most probable construction cost is computed as the sum of the subtotal and the above listed additive costs. A probable low construction cost estimate is computed as 50% less than the most probable estimate. A probable high construction cost estimate is computed as 100% more than the most probable estimate.</t>
  </si>
  <si>
    <t>The total cost estimate is the sum of costs from the other three worksheets. The user may enter a location cost factor that adjusts all costs (up or down) to account for local price conditions. The user may enter an annual cost index factor to account for inflation that may have occurred since the unit price information was developed.</t>
  </si>
  <si>
    <t>The total cost may also be increased by user defined percentages to account for other costs:
•	Non-contract costs: Work and services provided by owner, agency, or consultants to support the project, right of way acquisitions, relocation of property by others, design, permitting, and engineering oversight of construction (perhaps an increase between 30% and 60%)
•	Litigation &amp; stakeholder tension studies (perhaps an increase between 0% and 30%)</t>
  </si>
  <si>
    <t>The computational guide is designed to help users consider a wide variety of items that may influence unique dam removal costs. The more fully the scope and design of a dam removal project are defined, the more accurately the quantities and unit costs can be estimated. When all the major cost items are properly accounted for, the preliminary cost estimate can be quite useful for planning purposes.</t>
  </si>
  <si>
    <t>Overview:</t>
  </si>
  <si>
    <t>For each worksheet, the computational guide for cost estimating accounts for important additive costs that are computed as an additional percentage:
•	Mobilization &amp; Demobilization (5% of the subtotal and unlisted items cost)
•	Design Contingencies (30% of the subtotal, unlisted items, and mobilization &amp; demobilization costs)
•	Allowance for Procurement Strategy (5% of the subtotal, unlisted items, and mobilization &amp; demobilization costs)
•	Contractor overhead and profit (15% of subtotal and above listed additive costs)
•	Construction Contingencies (20% of subtotal and above listed additive costs)
The default percentages of column I can be easily overridden in column H.</t>
  </si>
  <si>
    <t>RISE catalog item companion report page: data.usbr.gov/catalog/7975/item/128527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</si>
</sst>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44" formatCode="_(&quot;$&quot;* #,##0.00_);_(&quot;$&quot;* \(#,##0.00\);_(&quot;$&quot;* &quot;-&quot;??_);_(@_)"/>
    <numFmt numFmtId="43" formatCode="_(* #,##0.00_);_(* \(#,##0.00\);_(* &quot;-&quot;??_);_(@_)"/>
    <numFmt numFmtId="164" formatCode="&quot;$&quot;#,##0"/>
    <numFmt numFmtId="165" formatCode="&quot;$&quot;#,##0.00"/>
    <numFmt numFmtId="166" formatCode="0.0%"/>
    <numFmt numFmtId="167" formatCode="&quot;$&quot;#,##0.0"/>
    <numFmt numFmtId="168" formatCode="#,##0.0"/>
    <numFmt numFmtId="169" formatCode="_(* #,##0_);_(* \(#,##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vertAlign val="superscript"/>
      <sz val="11"/>
      <color theme="1"/>
      <name val="Calibri"/>
      <family val="2"/>
      <scheme val="minor"/>
    </font>
    <font>
      <sz val="11"/>
      <color rgb="FFFF0000"/>
      <name val="Calibri"/>
      <family val="2"/>
      <scheme val="minor"/>
    </font>
    <font>
      <sz val="8"/>
      <name val="Calibri"/>
      <family val="2"/>
      <scheme val="minor"/>
    </font>
    <font>
      <u/>
      <sz val="11"/>
      <color theme="1"/>
      <name val="Calibri"/>
      <family val="2"/>
      <scheme val="minor"/>
    </font>
  </fonts>
  <fills count="6">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rgb="FFCCFFCC"/>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399">
    <xf numFmtId="0" fontId="0" fillId="0" borderId="0" xfId="0"/>
    <xf numFmtId="164" fontId="0" fillId="0" borderId="0" xfId="0" applyNumberFormat="1"/>
    <xf numFmtId="0" fontId="0" fillId="0" borderId="1" xfId="0" applyBorder="1"/>
    <xf numFmtId="164" fontId="0" fillId="0" borderId="5" xfId="0" applyNumberFormat="1" applyBorder="1"/>
    <xf numFmtId="0" fontId="3" fillId="0" borderId="0" xfId="0" applyFont="1"/>
    <xf numFmtId="0" fontId="4" fillId="0" borderId="0" xfId="0" applyFont="1"/>
    <xf numFmtId="164" fontId="2" fillId="0" borderId="11" xfId="0" applyNumberFormat="1" applyFont="1" applyBorder="1" applyAlignment="1">
      <alignment horizontal="center" wrapText="1"/>
    </xf>
    <xf numFmtId="0" fontId="2" fillId="0" borderId="14" xfId="0" applyFont="1" applyBorder="1" applyAlignment="1">
      <alignment horizontal="center" wrapText="1"/>
    </xf>
    <xf numFmtId="0" fontId="2" fillId="0" borderId="12" xfId="0" applyFont="1" applyBorder="1"/>
    <xf numFmtId="164" fontId="2" fillId="0" borderId="5" xfId="0" applyNumberFormat="1" applyFont="1" applyBorder="1"/>
    <xf numFmtId="0" fontId="2" fillId="0" borderId="12" xfId="0" applyFont="1" applyBorder="1" applyAlignment="1">
      <alignment horizontal="center" wrapText="1"/>
    </xf>
    <xf numFmtId="0" fontId="2" fillId="0" borderId="12" xfId="0" applyFont="1" applyBorder="1" applyAlignment="1">
      <alignment horizontal="center"/>
    </xf>
    <xf numFmtId="0" fontId="2" fillId="0" borderId="13" xfId="0" applyFont="1" applyBorder="1" applyAlignment="1">
      <alignment horizontal="center"/>
    </xf>
    <xf numFmtId="164" fontId="2" fillId="0" borderId="2" xfId="0" applyNumberFormat="1" applyFont="1" applyBorder="1" applyAlignment="1">
      <alignment horizontal="center" wrapText="1"/>
    </xf>
    <xf numFmtId="0" fontId="0" fillId="2" borderId="20" xfId="0" applyFill="1" applyBorder="1"/>
    <xf numFmtId="0" fontId="0" fillId="0" borderId="21" xfId="0" applyBorder="1"/>
    <xf numFmtId="0" fontId="0" fillId="0" borderId="22" xfId="0" applyBorder="1"/>
    <xf numFmtId="9" fontId="0" fillId="0" borderId="1" xfId="1" applyFont="1" applyBorder="1" applyAlignment="1">
      <alignment horizontal="center"/>
    </xf>
    <xf numFmtId="9" fontId="2" fillId="0" borderId="1" xfId="1" applyFont="1" applyBorder="1" applyAlignment="1">
      <alignment horizontal="center"/>
    </xf>
    <xf numFmtId="0" fontId="0" fillId="0" borderId="1" xfId="0" applyFont="1" applyFill="1" applyBorder="1" applyAlignment="1">
      <alignment horizontal="left" vertical="center" wrapText="1"/>
    </xf>
    <xf numFmtId="0" fontId="2" fillId="0" borderId="1" xfId="0" applyFont="1" applyFill="1" applyBorder="1" applyAlignment="1">
      <alignment wrapText="1"/>
    </xf>
    <xf numFmtId="0" fontId="0" fillId="0" borderId="1" xfId="0" applyFont="1" applyBorder="1" applyAlignment="1">
      <alignment horizontal="left" vertical="center" wrapText="1"/>
    </xf>
    <xf numFmtId="0" fontId="2" fillId="0" borderId="1" xfId="0" applyFont="1" applyBorder="1" applyAlignment="1">
      <alignment horizontal="left" vertical="center" wrapText="1"/>
    </xf>
    <xf numFmtId="2" fontId="0" fillId="0" borderId="0" xfId="0" applyNumberFormat="1" applyAlignment="1">
      <alignment horizontal="center"/>
    </xf>
    <xf numFmtId="0" fontId="0" fillId="0" borderId="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3" xfId="0" applyFont="1" applyBorder="1" applyAlignment="1">
      <alignment horizontal="right" vertical="center"/>
    </xf>
    <xf numFmtId="0" fontId="2" fillId="0" borderId="3" xfId="0" applyFont="1" applyBorder="1" applyAlignment="1">
      <alignment vertical="center"/>
    </xf>
    <xf numFmtId="164" fontId="0" fillId="0" borderId="5" xfId="0" applyNumberFormat="1" applyBorder="1" applyAlignment="1">
      <alignment vertical="center"/>
    </xf>
    <xf numFmtId="166" fontId="0" fillId="0" borderId="1" xfId="1" applyNumberFormat="1" applyFont="1" applyBorder="1" applyAlignment="1">
      <alignment vertical="center"/>
    </xf>
    <xf numFmtId="0" fontId="0" fillId="0" borderId="1" xfId="0" applyBorder="1" applyAlignment="1">
      <alignment vertical="center"/>
    </xf>
    <xf numFmtId="164" fontId="0" fillId="0" borderId="1" xfId="0" applyNumberFormat="1" applyFill="1" applyBorder="1" applyAlignment="1">
      <alignment vertical="center"/>
    </xf>
    <xf numFmtId="164" fontId="0" fillId="0" borderId="1" xfId="0" applyNumberFormat="1" applyBorder="1" applyAlignment="1">
      <alignment vertical="center"/>
    </xf>
    <xf numFmtId="165" fontId="0" fillId="0" borderId="5" xfId="0" applyNumberFormat="1" applyBorder="1" applyAlignment="1">
      <alignment vertical="center"/>
    </xf>
    <xf numFmtId="0" fontId="0" fillId="0" borderId="1" xfId="0" applyFont="1" applyBorder="1" applyAlignment="1">
      <alignment vertical="center"/>
    </xf>
    <xf numFmtId="0" fontId="0" fillId="0" borderId="1" xfId="0" applyFill="1" applyBorder="1" applyAlignment="1">
      <alignment vertical="center"/>
    </xf>
    <xf numFmtId="0" fontId="0" fillId="0" borderId="5" xfId="0" applyBorder="1" applyAlignment="1">
      <alignment vertical="center"/>
    </xf>
    <xf numFmtId="3" fontId="0" fillId="0" borderId="1" xfId="0" applyNumberFormat="1" applyBorder="1" applyAlignment="1">
      <alignment vertical="center"/>
    </xf>
    <xf numFmtId="0" fontId="0" fillId="0" borderId="1" xfId="0" applyBorder="1" applyAlignment="1">
      <alignment vertical="center" wrapText="1"/>
    </xf>
    <xf numFmtId="0" fontId="0" fillId="0" borderId="1" xfId="0" quotePrefix="1" applyBorder="1" applyAlignment="1">
      <alignment vertical="center"/>
    </xf>
    <xf numFmtId="3" fontId="0" fillId="0" borderId="1" xfId="0" applyNumberFormat="1" applyFill="1" applyBorder="1" applyAlignment="1">
      <alignment vertical="center"/>
    </xf>
    <xf numFmtId="0" fontId="0" fillId="0" borderId="1" xfId="0" quotePrefix="1" applyFill="1" applyBorder="1" applyAlignment="1">
      <alignment vertical="center"/>
    </xf>
    <xf numFmtId="166" fontId="0" fillId="0" borderId="1" xfId="0" applyNumberFormat="1" applyBorder="1" applyAlignment="1">
      <alignment vertical="center"/>
    </xf>
    <xf numFmtId="0" fontId="2" fillId="4" borderId="0" xfId="0" applyFont="1" applyFill="1"/>
    <xf numFmtId="0" fontId="2" fillId="0" borderId="12" xfId="0" applyFont="1" applyBorder="1" applyAlignment="1">
      <alignment horizontal="left" wrapText="1"/>
    </xf>
    <xf numFmtId="0" fontId="2" fillId="0" borderId="11" xfId="0" applyFont="1" applyBorder="1" applyAlignment="1">
      <alignment horizontal="right" wrapText="1"/>
    </xf>
    <xf numFmtId="0" fontId="0" fillId="0" borderId="0" xfId="0" applyFill="1"/>
    <xf numFmtId="0" fontId="0" fillId="0" borderId="0" xfId="0" applyAlignment="1">
      <alignment vertical="center"/>
    </xf>
    <xf numFmtId="3" fontId="0" fillId="0" borderId="0" xfId="0" applyNumberFormat="1" applyAlignment="1">
      <alignment vertical="center"/>
    </xf>
    <xf numFmtId="0" fontId="2" fillId="0" borderId="3" xfId="0" applyFont="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2" fillId="0" borderId="1" xfId="0" applyFont="1" applyFill="1" applyBorder="1" applyAlignment="1">
      <alignment horizontal="left" vertical="center" wrapText="1"/>
    </xf>
    <xf numFmtId="0" fontId="0" fillId="0" borderId="0" xfId="0" applyAlignment="1">
      <alignment vertical="center" wrapText="1"/>
    </xf>
    <xf numFmtId="0" fontId="0" fillId="0" borderId="1" xfId="0" applyBorder="1" applyAlignment="1">
      <alignment horizontal="left" vertical="center" wrapText="1" indent="1"/>
    </xf>
    <xf numFmtId="164" fontId="0" fillId="0" borderId="5" xfId="0" applyNumberFormat="1" applyFill="1" applyBorder="1" applyAlignment="1">
      <alignment vertical="center"/>
    </xf>
    <xf numFmtId="164" fontId="0" fillId="0" borderId="2" xfId="0" applyNumberFormat="1" applyBorder="1" applyAlignment="1">
      <alignment vertical="center"/>
    </xf>
    <xf numFmtId="166" fontId="0" fillId="0" borderId="3" xfId="0" applyNumberFormat="1" applyBorder="1" applyAlignment="1">
      <alignment vertical="center"/>
    </xf>
    <xf numFmtId="3" fontId="0" fillId="0" borderId="3" xfId="0" applyNumberFormat="1" applyBorder="1" applyAlignment="1">
      <alignment vertical="center"/>
    </xf>
    <xf numFmtId="164" fontId="0" fillId="0" borderId="3" xfId="0" applyNumberFormat="1" applyBorder="1" applyAlignment="1">
      <alignment vertical="center"/>
    </xf>
    <xf numFmtId="164" fontId="0" fillId="0" borderId="15" xfId="0" applyNumberFormat="1" applyFill="1" applyBorder="1" applyAlignment="1">
      <alignment vertical="center"/>
    </xf>
    <xf numFmtId="164" fontId="0" fillId="0" borderId="16" xfId="0" applyNumberFormat="1" applyBorder="1" applyAlignment="1">
      <alignment vertical="center"/>
    </xf>
    <xf numFmtId="164" fontId="0" fillId="0" borderId="10" xfId="0" applyNumberFormat="1" applyFill="1" applyBorder="1" applyAlignment="1">
      <alignment vertical="center"/>
    </xf>
    <xf numFmtId="0" fontId="0" fillId="0" borderId="15" xfId="0" applyBorder="1" applyAlignment="1">
      <alignment vertical="center"/>
    </xf>
    <xf numFmtId="166" fontId="0" fillId="0" borderId="15" xfId="1" applyNumberFormat="1" applyFont="1" applyBorder="1" applyAlignment="1">
      <alignment vertical="center"/>
    </xf>
    <xf numFmtId="0" fontId="0" fillId="0" borderId="15" xfId="0" applyBorder="1" applyAlignment="1">
      <alignment horizontal="left" vertical="center" wrapText="1" indent="1"/>
    </xf>
    <xf numFmtId="0" fontId="0" fillId="0" borderId="15" xfId="0" applyFill="1" applyBorder="1" applyAlignment="1">
      <alignment horizontal="left" vertical="center" wrapText="1" indent="1"/>
    </xf>
    <xf numFmtId="3" fontId="0" fillId="0" borderId="17" xfId="0" applyNumberFormat="1" applyFill="1" applyBorder="1" applyAlignment="1">
      <alignment vertical="center"/>
    </xf>
    <xf numFmtId="0" fontId="0" fillId="0" borderId="17" xfId="0" applyFill="1" applyBorder="1" applyAlignment="1">
      <alignment vertical="center"/>
    </xf>
    <xf numFmtId="0" fontId="0" fillId="0" borderId="17" xfId="0" applyBorder="1" applyAlignment="1">
      <alignment horizontal="left" vertical="center" wrapText="1" indent="2"/>
    </xf>
    <xf numFmtId="0" fontId="0" fillId="0" borderId="15" xfId="0" quotePrefix="1" applyBorder="1" applyAlignment="1">
      <alignment vertical="center"/>
    </xf>
    <xf numFmtId="0" fontId="2" fillId="0" borderId="1" xfId="0" applyFont="1" applyFill="1" applyBorder="1" applyAlignment="1">
      <alignment horizontal="left" vertical="center" wrapText="1" indent="1"/>
    </xf>
    <xf numFmtId="0" fontId="0" fillId="0" borderId="15" xfId="0" quotePrefix="1" applyFill="1" applyBorder="1" applyAlignment="1">
      <alignment vertical="center"/>
    </xf>
    <xf numFmtId="168" fontId="0" fillId="0" borderId="1" xfId="0" applyNumberFormat="1" applyFill="1" applyBorder="1" applyAlignment="1">
      <alignment vertical="center"/>
    </xf>
    <xf numFmtId="0" fontId="0" fillId="0" borderId="1" xfId="0" applyFill="1" applyBorder="1" applyAlignment="1">
      <alignment horizontal="left" vertical="center" wrapText="1" indent="1"/>
    </xf>
    <xf numFmtId="0" fontId="2" fillId="0" borderId="1" xfId="0" applyFont="1" applyBorder="1" applyAlignment="1">
      <alignment horizontal="left" vertical="center" wrapText="1" indent="1"/>
    </xf>
    <xf numFmtId="9" fontId="0" fillId="0" borderId="1" xfId="1" applyFont="1" applyBorder="1" applyAlignment="1">
      <alignment vertical="center"/>
    </xf>
    <xf numFmtId="9" fontId="0" fillId="0" borderId="1" xfId="1" applyFont="1" applyFill="1" applyBorder="1" applyAlignment="1">
      <alignment vertical="center"/>
    </xf>
    <xf numFmtId="0" fontId="2" fillId="0" borderId="0" xfId="0" applyFont="1" applyFill="1"/>
    <xf numFmtId="0" fontId="2" fillId="0" borderId="25" xfId="0" applyFont="1" applyBorder="1" applyAlignment="1">
      <alignment horizontal="center" wrapText="1"/>
    </xf>
    <xf numFmtId="0" fontId="6" fillId="0" borderId="0" xfId="0" applyFont="1" applyFill="1"/>
    <xf numFmtId="166" fontId="0" fillId="0" borderId="1" xfId="1" applyNumberFormat="1" applyFont="1" applyFill="1" applyBorder="1" applyAlignment="1">
      <alignment vertical="center"/>
    </xf>
    <xf numFmtId="0" fontId="0" fillId="0" borderId="1" xfId="0" applyFill="1" applyBorder="1" applyAlignment="1">
      <alignment vertical="center" wrapText="1"/>
    </xf>
    <xf numFmtId="164" fontId="0" fillId="0" borderId="1" xfId="0" quotePrefix="1" applyNumberFormat="1" applyBorder="1" applyAlignment="1">
      <alignment vertical="center"/>
    </xf>
    <xf numFmtId="5" fontId="0" fillId="0" borderId="0" xfId="2" applyNumberFormat="1" applyFont="1"/>
    <xf numFmtId="166" fontId="0" fillId="0" borderId="0" xfId="1" applyNumberFormat="1" applyFont="1"/>
    <xf numFmtId="0" fontId="2" fillId="3" borderId="13" xfId="0" applyFont="1" applyFill="1" applyBorder="1" applyAlignment="1">
      <alignment vertical="center" wrapText="1"/>
    </xf>
    <xf numFmtId="164" fontId="2" fillId="5" borderId="11" xfId="0" applyNumberFormat="1" applyFont="1" applyFill="1" applyBorder="1"/>
    <xf numFmtId="0" fontId="0" fillId="5" borderId="21" xfId="0" applyFill="1" applyBorder="1"/>
    <xf numFmtId="0" fontId="2" fillId="5" borderId="13" xfId="0" applyFont="1" applyFill="1" applyBorder="1" applyAlignment="1">
      <alignment vertical="center" wrapText="1"/>
    </xf>
    <xf numFmtId="164" fontId="2" fillId="4" borderId="11" xfId="0" applyNumberFormat="1" applyFont="1" applyFill="1" applyBorder="1"/>
    <xf numFmtId="0" fontId="0" fillId="4" borderId="21" xfId="0" applyFill="1" applyBorder="1"/>
    <xf numFmtId="0" fontId="2" fillId="4" borderId="13" xfId="0" applyFont="1" applyFill="1" applyBorder="1" applyAlignment="1">
      <alignment vertical="center" wrapText="1"/>
    </xf>
    <xf numFmtId="164" fontId="2" fillId="0" borderId="27" xfId="0" applyNumberFormat="1" applyFont="1" applyBorder="1" applyAlignment="1">
      <alignment horizontal="center" wrapText="1"/>
    </xf>
    <xf numFmtId="0" fontId="2" fillId="0" borderId="25" xfId="0" applyFont="1" applyBorder="1" applyAlignment="1">
      <alignment horizontal="center"/>
    </xf>
    <xf numFmtId="0" fontId="2" fillId="0" borderId="28" xfId="0" applyFont="1" applyBorder="1" applyAlignment="1">
      <alignment horizontal="center"/>
    </xf>
    <xf numFmtId="164" fontId="2" fillId="3" borderId="18" xfId="0" applyNumberFormat="1" applyFont="1" applyFill="1" applyBorder="1"/>
    <xf numFmtId="9" fontId="2" fillId="3" borderId="19" xfId="0" applyNumberFormat="1" applyFont="1" applyFill="1" applyBorder="1" applyAlignment="1">
      <alignment horizontal="center"/>
    </xf>
    <xf numFmtId="0" fontId="2" fillId="3" borderId="29" xfId="0" applyFont="1" applyFill="1" applyBorder="1" applyAlignment="1">
      <alignment vertical="center" wrapText="1"/>
    </xf>
    <xf numFmtId="164" fontId="0" fillId="0" borderId="7" xfId="0" applyNumberFormat="1" applyBorder="1"/>
    <xf numFmtId="0" fontId="0" fillId="0" borderId="8" xfId="0" applyFont="1" applyBorder="1" applyAlignment="1">
      <alignment horizontal="left" vertical="center" wrapText="1"/>
    </xf>
    <xf numFmtId="0" fontId="0" fillId="0" borderId="3" xfId="0" applyFont="1" applyBorder="1" applyAlignment="1">
      <alignment horizontal="left" wrapText="1"/>
    </xf>
    <xf numFmtId="164" fontId="2" fillId="0" borderId="5" xfId="0" applyNumberFormat="1" applyFont="1" applyBorder="1" applyAlignment="1">
      <alignment horizontal="center" wrapText="1"/>
    </xf>
    <xf numFmtId="0" fontId="0" fillId="0" borderId="1" xfId="0" applyFont="1" applyBorder="1" applyAlignment="1">
      <alignment horizontal="left" wrapText="1"/>
    </xf>
    <xf numFmtId="0" fontId="0" fillId="0" borderId="22" xfId="0" applyFill="1" applyBorder="1"/>
    <xf numFmtId="164" fontId="0" fillId="0" borderId="3" xfId="0" applyNumberFormat="1" applyFill="1" applyBorder="1" applyAlignment="1">
      <alignment vertical="center"/>
    </xf>
    <xf numFmtId="0" fontId="0" fillId="0" borderId="1" xfId="0" applyFill="1" applyBorder="1" applyAlignment="1">
      <alignment horizontal="left" vertical="center" wrapText="1" indent="2"/>
    </xf>
    <xf numFmtId="0" fontId="0" fillId="0" borderId="1" xfId="0" applyBorder="1" applyAlignment="1">
      <alignment horizontal="left" vertical="center" wrapText="1" indent="2"/>
    </xf>
    <xf numFmtId="164" fontId="0" fillId="0" borderId="7" xfId="0" applyNumberFormat="1" applyBorder="1" applyAlignment="1">
      <alignment vertical="center"/>
    </xf>
    <xf numFmtId="166" fontId="0" fillId="0" borderId="8" xfId="0" applyNumberFormat="1" applyBorder="1" applyAlignment="1">
      <alignment vertical="center"/>
    </xf>
    <xf numFmtId="0" fontId="2" fillId="0" borderId="8" xfId="0" applyFont="1" applyBorder="1" applyAlignment="1">
      <alignment horizontal="left" vertical="center" wrapText="1"/>
    </xf>
    <xf numFmtId="0" fontId="0" fillId="0" borderId="8" xfId="0" applyBorder="1"/>
    <xf numFmtId="9" fontId="0" fillId="0" borderId="8" xfId="1" applyFont="1" applyFill="1" applyBorder="1" applyAlignment="1">
      <alignment vertical="center"/>
    </xf>
    <xf numFmtId="164" fontId="0" fillId="0" borderId="33" xfId="0" applyNumberFormat="1" applyBorder="1" applyAlignment="1">
      <alignment vertical="center"/>
    </xf>
    <xf numFmtId="3" fontId="0" fillId="0" borderId="10" xfId="0" applyNumberFormat="1" applyFill="1" applyBorder="1" applyAlignment="1">
      <alignment vertical="center"/>
    </xf>
    <xf numFmtId="166" fontId="0" fillId="0" borderId="8" xfId="1" applyNumberFormat="1" applyFont="1" applyBorder="1" applyAlignment="1">
      <alignment vertical="center"/>
    </xf>
    <xf numFmtId="0" fontId="0" fillId="0" borderId="8" xfId="0" applyBorder="1" applyAlignment="1">
      <alignment horizontal="left" vertical="center" wrapText="1" indent="1"/>
    </xf>
    <xf numFmtId="3" fontId="0" fillId="0" borderId="8" xfId="0" applyNumberFormat="1" applyFill="1" applyBorder="1" applyAlignment="1">
      <alignment vertical="center"/>
    </xf>
    <xf numFmtId="164" fontId="0" fillId="0" borderId="8" xfId="0" applyNumberFormat="1" applyFill="1" applyBorder="1" applyAlignment="1">
      <alignment vertical="center"/>
    </xf>
    <xf numFmtId="0" fontId="0" fillId="0" borderId="8" xfId="0" quotePrefix="1" applyBorder="1" applyAlignment="1">
      <alignment vertical="center"/>
    </xf>
    <xf numFmtId="166" fontId="0" fillId="0" borderId="17" xfId="1" applyNumberFormat="1" applyFont="1" applyBorder="1" applyAlignment="1">
      <alignment vertical="center"/>
    </xf>
    <xf numFmtId="164" fontId="0" fillId="0" borderId="17" xfId="0" applyNumberFormat="1" applyFill="1" applyBorder="1" applyAlignment="1">
      <alignment vertical="center"/>
    </xf>
    <xf numFmtId="0" fontId="0" fillId="0" borderId="17" xfId="0" applyBorder="1" applyAlignment="1">
      <alignment horizontal="left" vertical="center" wrapText="1"/>
    </xf>
    <xf numFmtId="164" fontId="0" fillId="0" borderId="26" xfId="0" applyNumberFormat="1" applyBorder="1" applyAlignment="1">
      <alignment vertical="center"/>
    </xf>
    <xf numFmtId="166" fontId="0" fillId="0" borderId="15" xfId="0" applyNumberFormat="1" applyBorder="1" applyAlignment="1">
      <alignment vertical="center"/>
    </xf>
    <xf numFmtId="0" fontId="0" fillId="0" borderId="15" xfId="0" applyBorder="1" applyAlignment="1">
      <alignment horizontal="left" vertical="center" wrapText="1"/>
    </xf>
    <xf numFmtId="0" fontId="0" fillId="0" borderId="15" xfId="0" applyFill="1" applyBorder="1" applyAlignment="1">
      <alignment vertical="center"/>
    </xf>
    <xf numFmtId="0" fontId="2" fillId="3" borderId="10" xfId="0" applyFont="1" applyFill="1" applyBorder="1" applyAlignment="1">
      <alignment horizontal="left" vertical="center" wrapText="1"/>
    </xf>
    <xf numFmtId="0" fontId="0" fillId="0" borderId="3" xfId="0" quotePrefix="1" applyBorder="1" applyAlignment="1">
      <alignment vertical="center"/>
    </xf>
    <xf numFmtId="0" fontId="0" fillId="0" borderId="7" xfId="0" applyBorder="1" applyAlignment="1">
      <alignment vertical="center"/>
    </xf>
    <xf numFmtId="0" fontId="0" fillId="0" borderId="8" xfId="0" applyBorder="1" applyAlignment="1">
      <alignment vertical="center" wrapText="1"/>
    </xf>
    <xf numFmtId="0" fontId="0" fillId="0" borderId="32" xfId="0" applyFill="1" applyBorder="1" applyAlignment="1">
      <alignment vertical="center"/>
    </xf>
    <xf numFmtId="164" fontId="2" fillId="3" borderId="11" xfId="0" applyNumberFormat="1" applyFont="1" applyFill="1" applyBorder="1" applyAlignment="1">
      <alignment vertical="center"/>
    </xf>
    <xf numFmtId="166" fontId="0" fillId="3" borderId="12" xfId="0" applyNumberFormat="1" applyFill="1" applyBorder="1" applyAlignment="1">
      <alignment vertical="center"/>
    </xf>
    <xf numFmtId="164" fontId="2" fillId="5" borderId="11" xfId="0" applyNumberFormat="1" applyFont="1" applyFill="1" applyBorder="1" applyAlignment="1">
      <alignment vertical="center"/>
    </xf>
    <xf numFmtId="0" fontId="0" fillId="5" borderId="12" xfId="0" applyFill="1" applyBorder="1" applyAlignment="1">
      <alignment vertical="center"/>
    </xf>
    <xf numFmtId="164" fontId="2" fillId="4" borderId="11" xfId="0" applyNumberFormat="1" applyFont="1" applyFill="1" applyBorder="1" applyAlignment="1">
      <alignment vertical="center"/>
    </xf>
    <xf numFmtId="0" fontId="0" fillId="4" borderId="12" xfId="0" applyFill="1" applyBorder="1" applyAlignment="1">
      <alignment vertical="center"/>
    </xf>
    <xf numFmtId="0" fontId="0" fillId="0" borderId="8" xfId="0" applyFill="1" applyBorder="1" applyAlignment="1">
      <alignment vertical="center"/>
    </xf>
    <xf numFmtId="9" fontId="0" fillId="0" borderId="8" xfId="1" applyFont="1" applyBorder="1" applyAlignment="1">
      <alignment vertical="center"/>
    </xf>
    <xf numFmtId="0" fontId="2" fillId="0" borderId="12" xfId="0" applyFont="1" applyBorder="1" applyAlignment="1">
      <alignment horizontal="right"/>
    </xf>
    <xf numFmtId="0" fontId="2" fillId="2" borderId="12" xfId="0" applyFont="1" applyFill="1" applyBorder="1" applyAlignment="1">
      <alignment horizontal="center" wrapText="1"/>
    </xf>
    <xf numFmtId="0" fontId="0" fillId="0" borderId="10" xfId="0" applyFill="1" applyBorder="1" applyAlignment="1">
      <alignment vertical="center"/>
    </xf>
    <xf numFmtId="0" fontId="0" fillId="0" borderId="8" xfId="0" applyFill="1" applyBorder="1" applyAlignment="1">
      <alignment horizontal="left" vertical="center" wrapText="1"/>
    </xf>
    <xf numFmtId="0" fontId="0" fillId="0" borderId="10" xfId="0" quotePrefix="1" applyFill="1" applyBorder="1" applyAlignment="1">
      <alignment vertical="center"/>
    </xf>
    <xf numFmtId="166" fontId="0" fillId="0" borderId="3" xfId="1" applyNumberFormat="1" applyFont="1" applyBorder="1" applyAlignment="1">
      <alignment vertical="center"/>
    </xf>
    <xf numFmtId="0" fontId="0" fillId="0" borderId="3" xfId="0" applyFill="1" applyBorder="1" applyAlignment="1">
      <alignment vertical="center"/>
    </xf>
    <xf numFmtId="0" fontId="0" fillId="0" borderId="17" xfId="0" quotePrefix="1" applyFill="1" applyBorder="1" applyAlignment="1">
      <alignment vertical="center"/>
    </xf>
    <xf numFmtId="0" fontId="0" fillId="0" borderId="17" xfId="0" applyBorder="1" applyAlignment="1">
      <alignment vertical="center" wrapText="1"/>
    </xf>
    <xf numFmtId="3" fontId="0" fillId="0" borderId="3" xfId="0" applyNumberFormat="1" applyFill="1" applyBorder="1" applyAlignment="1">
      <alignment vertical="center"/>
    </xf>
    <xf numFmtId="0" fontId="0" fillId="0" borderId="3" xfId="0" quotePrefix="1" applyFill="1" applyBorder="1" applyAlignment="1">
      <alignment vertical="center"/>
    </xf>
    <xf numFmtId="0" fontId="0" fillId="0" borderId="3" xfId="0" applyBorder="1" applyAlignment="1">
      <alignment vertical="center" wrapText="1"/>
    </xf>
    <xf numFmtId="165" fontId="0" fillId="0" borderId="8" xfId="0" applyNumberFormat="1" applyFill="1" applyBorder="1" applyAlignment="1">
      <alignment vertical="center"/>
    </xf>
    <xf numFmtId="165" fontId="0" fillId="0" borderId="3" xfId="0" applyNumberFormat="1" applyBorder="1" applyAlignment="1">
      <alignment vertical="center"/>
    </xf>
    <xf numFmtId="165" fontId="0" fillId="0" borderId="3" xfId="0" applyNumberFormat="1" applyFill="1" applyBorder="1" applyAlignment="1">
      <alignment vertical="center"/>
    </xf>
    <xf numFmtId="0" fontId="0" fillId="3" borderId="10" xfId="0" applyFill="1" applyBorder="1" applyAlignment="1">
      <alignment vertical="center" wrapText="1"/>
    </xf>
    <xf numFmtId="164" fontId="0" fillId="3" borderId="2" xfId="0" applyNumberFormat="1" applyFill="1" applyBorder="1" applyAlignment="1">
      <alignment vertical="center"/>
    </xf>
    <xf numFmtId="166" fontId="0" fillId="3" borderId="3" xfId="1" applyNumberFormat="1" applyFont="1" applyFill="1" applyBorder="1" applyAlignment="1">
      <alignment vertical="center"/>
    </xf>
    <xf numFmtId="0" fontId="2" fillId="3" borderId="3" xfId="0" applyFont="1" applyFill="1" applyBorder="1" applyAlignment="1">
      <alignment horizontal="left" vertical="center" wrapText="1"/>
    </xf>
    <xf numFmtId="3" fontId="0" fillId="3" borderId="3" xfId="0" applyNumberFormat="1" applyFill="1" applyBorder="1" applyAlignment="1">
      <alignment vertical="center"/>
    </xf>
    <xf numFmtId="0" fontId="0" fillId="3" borderId="3" xfId="0" applyFill="1" applyBorder="1" applyAlignment="1">
      <alignment vertical="center"/>
    </xf>
    <xf numFmtId="165" fontId="0" fillId="3" borderId="3" xfId="0" applyNumberFormat="1" applyFill="1" applyBorder="1" applyAlignment="1">
      <alignment vertical="center"/>
    </xf>
    <xf numFmtId="164" fontId="0" fillId="0" borderId="2" xfId="0" applyNumberFormat="1" applyBorder="1" applyAlignment="1">
      <alignment vertical="center" wrapText="1"/>
    </xf>
    <xf numFmtId="166" fontId="0" fillId="0" borderId="3" xfId="0" applyNumberFormat="1" applyBorder="1" applyAlignment="1">
      <alignment vertical="center" wrapText="1"/>
    </xf>
    <xf numFmtId="3" fontId="0" fillId="0" borderId="3" xfId="0" applyNumberFormat="1" applyBorder="1" applyAlignment="1">
      <alignment vertical="center" wrapText="1"/>
    </xf>
    <xf numFmtId="164" fontId="0" fillId="0" borderId="3" xfId="0" applyNumberFormat="1" applyFill="1" applyBorder="1" applyAlignment="1">
      <alignment vertical="center" wrapText="1"/>
    </xf>
    <xf numFmtId="164" fontId="0" fillId="0" borderId="3" xfId="0" applyNumberFormat="1" applyBorder="1" applyAlignment="1">
      <alignment vertical="center" wrapText="1"/>
    </xf>
    <xf numFmtId="164" fontId="0" fillId="0" borderId="5" xfId="0" applyNumberFormat="1" applyBorder="1" applyAlignment="1">
      <alignment vertical="center" wrapText="1"/>
    </xf>
    <xf numFmtId="166" fontId="0" fillId="0" borderId="1" xfId="1" applyNumberFormat="1" applyFont="1" applyBorder="1" applyAlignment="1">
      <alignment vertical="center" wrapText="1"/>
    </xf>
    <xf numFmtId="164" fontId="0" fillId="0" borderId="1" xfId="0" applyNumberFormat="1" applyFill="1" applyBorder="1" applyAlignment="1">
      <alignment vertical="center" wrapText="1"/>
    </xf>
    <xf numFmtId="165" fontId="0" fillId="0" borderId="1" xfId="0" applyNumberFormat="1" applyFill="1" applyBorder="1" applyAlignment="1">
      <alignment vertical="center" wrapText="1"/>
    </xf>
    <xf numFmtId="0" fontId="0" fillId="0" borderId="1" xfId="0" quotePrefix="1" applyBorder="1" applyAlignment="1">
      <alignment vertical="center" wrapText="1"/>
    </xf>
    <xf numFmtId="3" fontId="0" fillId="0" borderId="1" xfId="0" applyNumberFormat="1" applyBorder="1" applyAlignment="1">
      <alignment vertical="center" wrapText="1"/>
    </xf>
    <xf numFmtId="166" fontId="0" fillId="0" borderId="1" xfId="0" applyNumberFormat="1" applyBorder="1" applyAlignment="1">
      <alignment vertical="center" wrapText="1"/>
    </xf>
    <xf numFmtId="164" fontId="0" fillId="0" borderId="1" xfId="0" applyNumberFormat="1" applyBorder="1" applyAlignment="1">
      <alignment vertical="center" wrapText="1"/>
    </xf>
    <xf numFmtId="164" fontId="0" fillId="0" borderId="7" xfId="0" applyNumberFormat="1" applyBorder="1" applyAlignment="1">
      <alignment vertical="center" wrapText="1"/>
    </xf>
    <xf numFmtId="166" fontId="0" fillId="0" borderId="8" xfId="1" applyNumberFormat="1" applyFont="1" applyBorder="1" applyAlignment="1">
      <alignment vertical="center" wrapText="1"/>
    </xf>
    <xf numFmtId="0" fontId="0" fillId="0" borderId="8" xfId="0" applyBorder="1" applyAlignment="1">
      <alignment horizontal="left" vertical="center" wrapText="1"/>
    </xf>
    <xf numFmtId="164" fontId="0" fillId="0" borderId="8" xfId="0" applyNumberFormat="1" applyFill="1" applyBorder="1" applyAlignment="1">
      <alignment vertical="center" wrapText="1"/>
    </xf>
    <xf numFmtId="0" fontId="0" fillId="0" borderId="8" xfId="0" quotePrefix="1" applyBorder="1" applyAlignment="1">
      <alignment vertical="center" wrapText="1"/>
    </xf>
    <xf numFmtId="164" fontId="0" fillId="0" borderId="16" xfId="0" applyNumberFormat="1" applyBorder="1" applyAlignment="1">
      <alignment vertical="center" wrapText="1"/>
    </xf>
    <xf numFmtId="166" fontId="0" fillId="0" borderId="17" xfId="1" applyNumberFormat="1" applyFont="1" applyBorder="1" applyAlignment="1">
      <alignment vertical="center" wrapText="1"/>
    </xf>
    <xf numFmtId="3" fontId="0" fillId="0" borderId="17" xfId="0" applyNumberFormat="1" applyFill="1" applyBorder="1" applyAlignment="1">
      <alignment vertical="center" wrapText="1"/>
    </xf>
    <xf numFmtId="164" fontId="0" fillId="0" borderId="17" xfId="0" applyNumberFormat="1" applyFill="1" applyBorder="1" applyAlignment="1">
      <alignment vertical="center" wrapText="1"/>
    </xf>
    <xf numFmtId="0" fontId="0" fillId="0" borderId="17" xfId="0" quotePrefix="1" applyBorder="1" applyAlignment="1">
      <alignment vertical="center" wrapText="1"/>
    </xf>
    <xf numFmtId="167" fontId="0" fillId="0" borderId="8" xfId="0" applyNumberFormat="1" applyFill="1" applyBorder="1" applyAlignment="1">
      <alignment vertical="center" wrapText="1"/>
    </xf>
    <xf numFmtId="166" fontId="0" fillId="0" borderId="17" xfId="0" applyNumberFormat="1" applyBorder="1" applyAlignment="1">
      <alignment vertical="center" wrapText="1"/>
    </xf>
    <xf numFmtId="3" fontId="0" fillId="0" borderId="17" xfId="0" applyNumberFormat="1" applyBorder="1" applyAlignment="1">
      <alignment vertical="center" wrapText="1"/>
    </xf>
    <xf numFmtId="164" fontId="0" fillId="0" borderId="17" xfId="0" applyNumberFormat="1" applyBorder="1" applyAlignment="1">
      <alignment vertical="center" wrapText="1"/>
    </xf>
    <xf numFmtId="164" fontId="0" fillId="0" borderId="26" xfId="0" applyNumberFormat="1" applyBorder="1" applyAlignment="1">
      <alignment vertical="center" wrapText="1"/>
    </xf>
    <xf numFmtId="166" fontId="0" fillId="0" borderId="15" xfId="0" applyNumberFormat="1" applyBorder="1" applyAlignment="1">
      <alignment vertical="center" wrapText="1"/>
    </xf>
    <xf numFmtId="169" fontId="0" fillId="0" borderId="30" xfId="3" applyNumberFormat="1" applyFont="1" applyFill="1" applyBorder="1" applyAlignment="1" applyProtection="1">
      <alignment vertical="center" wrapText="1"/>
    </xf>
    <xf numFmtId="164" fontId="0" fillId="0" borderId="15" xfId="0" applyNumberFormat="1" applyFill="1" applyBorder="1" applyAlignment="1">
      <alignment vertical="center" wrapText="1"/>
    </xf>
    <xf numFmtId="164" fontId="0" fillId="0" borderId="30" xfId="3" applyNumberFormat="1" applyFont="1" applyFill="1" applyBorder="1" applyAlignment="1" applyProtection="1">
      <alignment vertical="center" wrapText="1"/>
    </xf>
    <xf numFmtId="0" fontId="0" fillId="0" borderId="3" xfId="0" quotePrefix="1" applyBorder="1" applyAlignment="1">
      <alignment vertical="center" wrapText="1"/>
    </xf>
    <xf numFmtId="164" fontId="0" fillId="0" borderId="5" xfId="0" applyNumberFormat="1" applyFill="1" applyBorder="1" applyAlignment="1">
      <alignment vertical="center" wrapText="1"/>
    </xf>
    <xf numFmtId="3" fontId="0" fillId="0" borderId="1" xfId="0" applyNumberFormat="1" applyFill="1" applyBorder="1" applyAlignment="1">
      <alignment vertical="center" wrapText="1"/>
    </xf>
    <xf numFmtId="0" fontId="0" fillId="0" borderId="7" xfId="0" applyBorder="1" applyAlignment="1">
      <alignment vertical="center" wrapText="1"/>
    </xf>
    <xf numFmtId="164" fontId="2" fillId="3" borderId="33" xfId="0" applyNumberFormat="1" applyFont="1" applyFill="1" applyBorder="1" applyAlignment="1">
      <alignment vertical="center" wrapText="1"/>
    </xf>
    <xf numFmtId="166" fontId="0" fillId="3" borderId="10" xfId="0" applyNumberFormat="1" applyFill="1" applyBorder="1" applyAlignment="1">
      <alignment vertical="center" wrapText="1"/>
    </xf>
    <xf numFmtId="3" fontId="0" fillId="3" borderId="10" xfId="0" applyNumberFormat="1" applyFill="1" applyBorder="1" applyAlignment="1">
      <alignment vertical="center" wrapText="1"/>
    </xf>
    <xf numFmtId="165" fontId="0" fillId="3" borderId="10" xfId="0" applyNumberFormat="1" applyFill="1" applyBorder="1" applyAlignment="1">
      <alignment vertical="center" wrapText="1"/>
    </xf>
    <xf numFmtId="9" fontId="0" fillId="0" borderId="1" xfId="1" applyFont="1" applyFill="1" applyBorder="1" applyAlignment="1">
      <alignment vertical="center" wrapText="1"/>
    </xf>
    <xf numFmtId="166" fontId="0" fillId="0" borderId="8" xfId="0" applyNumberFormat="1" applyBorder="1" applyAlignment="1">
      <alignment vertical="center" wrapText="1"/>
    </xf>
    <xf numFmtId="9" fontId="0" fillId="0" borderId="8" xfId="1" applyFont="1" applyFill="1" applyBorder="1" applyAlignment="1">
      <alignment vertical="center" wrapText="1"/>
    </xf>
    <xf numFmtId="164" fontId="2" fillId="3" borderId="11" xfId="0" applyNumberFormat="1" applyFont="1" applyFill="1" applyBorder="1" applyAlignment="1">
      <alignment vertical="center" wrapText="1"/>
    </xf>
    <xf numFmtId="166" fontId="0" fillId="3" borderId="12" xfId="0" applyNumberFormat="1" applyFill="1" applyBorder="1" applyAlignment="1">
      <alignment vertical="center" wrapText="1"/>
    </xf>
    <xf numFmtId="3" fontId="0" fillId="0" borderId="32" xfId="0" applyNumberFormat="1" applyFill="1" applyBorder="1" applyAlignment="1">
      <alignment vertical="center" wrapText="1"/>
    </xf>
    <xf numFmtId="0" fontId="0" fillId="0" borderId="32" xfId="0" applyFill="1" applyBorder="1" applyAlignment="1">
      <alignment vertical="center" wrapText="1"/>
    </xf>
    <xf numFmtId="164" fontId="2" fillId="5" borderId="11" xfId="0" applyNumberFormat="1" applyFont="1" applyFill="1" applyBorder="1" applyAlignment="1">
      <alignment vertical="center" wrapText="1"/>
    </xf>
    <xf numFmtId="0" fontId="0" fillId="5" borderId="12" xfId="0" applyFill="1" applyBorder="1" applyAlignment="1">
      <alignment vertical="center" wrapText="1"/>
    </xf>
    <xf numFmtId="164" fontId="2" fillId="4" borderId="11" xfId="0" applyNumberFormat="1" applyFont="1" applyFill="1" applyBorder="1" applyAlignment="1">
      <alignment vertical="center" wrapText="1"/>
    </xf>
    <xf numFmtId="0" fontId="0" fillId="4" borderId="12" xfId="0" applyFill="1" applyBorder="1" applyAlignment="1">
      <alignment vertical="center" wrapText="1"/>
    </xf>
    <xf numFmtId="0" fontId="0" fillId="0" borderId="30" xfId="0" applyBorder="1" applyAlignment="1">
      <alignment vertical="center" wrapText="1"/>
    </xf>
    <xf numFmtId="0" fontId="0" fillId="0" borderId="1" xfId="0" applyBorder="1" applyAlignment="1">
      <alignment horizontal="left" vertical="center" wrapText="1" indent="3"/>
    </xf>
    <xf numFmtId="164" fontId="2" fillId="3" borderId="2" xfId="0" applyNumberFormat="1" applyFont="1" applyFill="1" applyBorder="1" applyAlignment="1">
      <alignment vertical="center"/>
    </xf>
    <xf numFmtId="166" fontId="0" fillId="3" borderId="3" xfId="0" applyNumberFormat="1" applyFill="1" applyBorder="1" applyAlignment="1">
      <alignment vertical="center"/>
    </xf>
    <xf numFmtId="0" fontId="2" fillId="0" borderId="12" xfId="0" applyFont="1" applyBorder="1" applyAlignment="1">
      <alignment horizontal="right" wrapText="1"/>
    </xf>
    <xf numFmtId="164" fontId="0" fillId="0" borderId="35" xfId="3" applyNumberFormat="1" applyFont="1" applyFill="1" applyBorder="1" applyAlignment="1" applyProtection="1">
      <alignment vertical="center" wrapText="1"/>
    </xf>
    <xf numFmtId="0" fontId="0" fillId="0" borderId="8" xfId="0" applyBorder="1" applyAlignment="1">
      <alignment horizontal="left" vertical="center" wrapText="1" indent="2"/>
    </xf>
    <xf numFmtId="0" fontId="2" fillId="0" borderId="3" xfId="0" applyFont="1" applyFill="1" applyBorder="1" applyAlignment="1">
      <alignment horizontal="left" vertical="center" wrapText="1" indent="1"/>
    </xf>
    <xf numFmtId="164" fontId="0" fillId="0" borderId="7" xfId="0" applyNumberFormat="1" applyFill="1" applyBorder="1" applyAlignment="1">
      <alignment vertical="center"/>
    </xf>
    <xf numFmtId="3" fontId="0" fillId="0" borderId="31" xfId="0" applyNumberFormat="1" applyFill="1" applyBorder="1" applyAlignment="1">
      <alignment vertical="center"/>
    </xf>
    <xf numFmtId="3" fontId="0" fillId="2" borderId="1" xfId="0" applyNumberFormat="1" applyFill="1" applyBorder="1" applyAlignment="1" applyProtection="1">
      <alignment vertical="center"/>
      <protection locked="0"/>
    </xf>
    <xf numFmtId="3" fontId="0" fillId="2" borderId="1" xfId="0" applyNumberFormat="1" applyFill="1" applyBorder="1" applyAlignment="1" applyProtection="1">
      <alignment vertical="center" wrapText="1"/>
      <protection locked="0"/>
    </xf>
    <xf numFmtId="3" fontId="0" fillId="2" borderId="15" xfId="0" applyNumberFormat="1" applyFill="1" applyBorder="1" applyAlignment="1" applyProtection="1">
      <alignment vertical="center" wrapText="1"/>
      <protection locked="0"/>
    </xf>
    <xf numFmtId="164" fontId="0" fillId="2" borderId="8" xfId="0" applyNumberFormat="1" applyFill="1" applyBorder="1" applyAlignment="1" applyProtection="1">
      <alignment vertical="center" wrapText="1"/>
      <protection locked="0"/>
    </xf>
    <xf numFmtId="164" fontId="0" fillId="2" borderId="1" xfId="0" applyNumberFormat="1" applyFill="1" applyBorder="1" applyAlignment="1" applyProtection="1">
      <alignment vertical="center"/>
      <protection locked="0"/>
    </xf>
    <xf numFmtId="3" fontId="0" fillId="2" borderId="8" xfId="0" applyNumberFormat="1" applyFill="1" applyBorder="1" applyAlignment="1" applyProtection="1">
      <alignment vertical="center"/>
      <protection locked="0"/>
    </xf>
    <xf numFmtId="164" fontId="0" fillId="2" borderId="8" xfId="0" applyNumberFormat="1" applyFill="1" applyBorder="1" applyAlignment="1" applyProtection="1">
      <alignment vertical="center"/>
      <protection locked="0"/>
    </xf>
    <xf numFmtId="9" fontId="0" fillId="2" borderId="1" xfId="1" applyFont="1" applyFill="1" applyBorder="1" applyAlignment="1" applyProtection="1">
      <alignment vertical="center"/>
      <protection locked="0"/>
    </xf>
    <xf numFmtId="9" fontId="0" fillId="2" borderId="8" xfId="1" applyFont="1" applyFill="1" applyBorder="1" applyAlignment="1" applyProtection="1">
      <alignment vertical="center"/>
      <protection locked="0"/>
    </xf>
    <xf numFmtId="0" fontId="2" fillId="0" borderId="12" xfId="0" applyFont="1" applyFill="1" applyBorder="1" applyAlignment="1">
      <alignment horizontal="center" wrapText="1"/>
    </xf>
    <xf numFmtId="0" fontId="2" fillId="0" borderId="14" xfId="0" applyFont="1" applyFill="1" applyBorder="1" applyAlignment="1">
      <alignment horizontal="center" wrapText="1"/>
    </xf>
    <xf numFmtId="0" fontId="0" fillId="0" borderId="17" xfId="0" applyFill="1" applyBorder="1" applyAlignment="1">
      <alignment vertical="center" wrapText="1"/>
    </xf>
    <xf numFmtId="166" fontId="0" fillId="0" borderId="3" xfId="1" applyNumberFormat="1" applyFont="1" applyBorder="1" applyAlignment="1">
      <alignment vertical="center" wrapText="1"/>
    </xf>
    <xf numFmtId="0" fontId="2" fillId="0" borderId="3" xfId="0" applyFont="1" applyFill="1" applyBorder="1" applyAlignment="1">
      <alignment horizontal="left" vertical="center" wrapText="1"/>
    </xf>
    <xf numFmtId="0" fontId="2" fillId="4" borderId="10" xfId="0" applyFont="1" applyFill="1" applyBorder="1" applyAlignment="1">
      <alignment horizontal="left" vertical="center" wrapText="1"/>
    </xf>
    <xf numFmtId="2" fontId="0" fillId="0" borderId="10" xfId="0" applyNumberFormat="1" applyFill="1" applyBorder="1" applyAlignment="1">
      <alignment horizontal="center" vertical="center"/>
    </xf>
    <xf numFmtId="0" fontId="0" fillId="0" borderId="15" xfId="0" applyFill="1" applyBorder="1" applyAlignment="1">
      <alignment horizontal="left" vertical="center" wrapText="1"/>
    </xf>
    <xf numFmtId="164" fontId="0" fillId="0" borderId="15" xfId="0" quotePrefix="1" applyNumberFormat="1" applyBorder="1" applyAlignment="1">
      <alignment vertical="center"/>
    </xf>
    <xf numFmtId="164" fontId="0" fillId="0" borderId="27" xfId="0" applyNumberFormat="1" applyBorder="1" applyAlignment="1">
      <alignment vertical="center"/>
    </xf>
    <xf numFmtId="166" fontId="0" fillId="0" borderId="25" xfId="1" applyNumberFormat="1" applyFont="1" applyBorder="1" applyAlignment="1">
      <alignment vertical="center"/>
    </xf>
    <xf numFmtId="0" fontId="2" fillId="0" borderId="25" xfId="0" applyFont="1" applyFill="1" applyBorder="1" applyAlignment="1">
      <alignment horizontal="left" vertical="center" wrapText="1"/>
    </xf>
    <xf numFmtId="0" fontId="0" fillId="0" borderId="25" xfId="0" applyBorder="1" applyAlignment="1">
      <alignment vertical="center"/>
    </xf>
    <xf numFmtId="164" fontId="0" fillId="0" borderId="25" xfId="0" applyNumberFormat="1" applyFill="1" applyBorder="1" applyAlignment="1">
      <alignment vertical="center"/>
    </xf>
    <xf numFmtId="0" fontId="2" fillId="0" borderId="8" xfId="0" applyFont="1" applyFill="1" applyBorder="1" applyAlignment="1">
      <alignment horizontal="left" vertical="center" wrapText="1"/>
    </xf>
    <xf numFmtId="0" fontId="0" fillId="0" borderId="8" xfId="0" quotePrefix="1" applyFill="1" applyBorder="1" applyAlignment="1">
      <alignment vertical="center"/>
    </xf>
    <xf numFmtId="0" fontId="0" fillId="0" borderId="26" xfId="0" applyBorder="1"/>
    <xf numFmtId="0" fontId="0" fillId="0" borderId="15" xfId="0" applyBorder="1"/>
    <xf numFmtId="165" fontId="0" fillId="0" borderId="15" xfId="0" applyNumberFormat="1" applyFill="1" applyBorder="1" applyAlignment="1">
      <alignment vertical="center"/>
    </xf>
    <xf numFmtId="0" fontId="2" fillId="0" borderId="15" xfId="0" applyFont="1" applyBorder="1" applyAlignment="1">
      <alignment horizontal="left" vertical="center" wrapText="1"/>
    </xf>
    <xf numFmtId="2" fontId="0" fillId="2" borderId="3" xfId="0" applyNumberFormat="1" applyFont="1" applyFill="1" applyBorder="1" applyAlignment="1" applyProtection="1">
      <alignment horizontal="center" wrapText="1"/>
      <protection locked="0"/>
    </xf>
    <xf numFmtId="2" fontId="0" fillId="2" borderId="1" xfId="0" applyNumberFormat="1" applyFont="1" applyFill="1" applyBorder="1" applyAlignment="1" applyProtection="1">
      <alignment horizontal="center" wrapText="1"/>
      <protection locked="0"/>
    </xf>
    <xf numFmtId="9" fontId="0" fillId="2" borderId="1" xfId="1" applyFont="1" applyFill="1" applyBorder="1" applyAlignment="1" applyProtection="1">
      <alignment horizontal="center"/>
      <protection locked="0"/>
    </xf>
    <xf numFmtId="9" fontId="0" fillId="2" borderId="8" xfId="1" applyFont="1" applyFill="1" applyBorder="1" applyAlignment="1" applyProtection="1">
      <alignment horizontal="center"/>
      <protection locked="0"/>
    </xf>
    <xf numFmtId="0" fontId="0" fillId="0" borderId="0" xfId="0" applyAlignment="1">
      <alignment horizontal="right"/>
    </xf>
    <xf numFmtId="0" fontId="0" fillId="2" borderId="0" xfId="0" applyFill="1" applyAlignment="1" applyProtection="1">
      <alignment horizontal="center"/>
      <protection locked="0"/>
    </xf>
    <xf numFmtId="168" fontId="0" fillId="2" borderId="1" xfId="0" applyNumberFormat="1" applyFill="1" applyBorder="1" applyAlignment="1" applyProtection="1">
      <alignment vertical="center"/>
      <protection locked="0"/>
    </xf>
    <xf numFmtId="3" fontId="0" fillId="2" borderId="15" xfId="0" applyNumberFormat="1" applyFill="1" applyBorder="1" applyAlignment="1" applyProtection="1">
      <alignment vertical="center"/>
      <protection locked="0"/>
    </xf>
    <xf numFmtId="3" fontId="0" fillId="2" borderId="25" xfId="0" applyNumberFormat="1" applyFill="1" applyBorder="1" applyAlignment="1" applyProtection="1">
      <alignment vertical="center"/>
      <protection locked="0"/>
    </xf>
    <xf numFmtId="0" fontId="0" fillId="2" borderId="1" xfId="0" applyFill="1" applyBorder="1" applyAlignment="1" applyProtection="1">
      <alignment vertical="center"/>
      <protection locked="0"/>
    </xf>
    <xf numFmtId="164" fontId="0" fillId="2" borderId="15" xfId="0" applyNumberFormat="1" applyFill="1" applyBorder="1" applyAlignment="1" applyProtection="1">
      <alignment vertical="center"/>
      <protection locked="0"/>
    </xf>
    <xf numFmtId="0" fontId="0" fillId="2" borderId="25" xfId="0" applyFill="1" applyBorder="1" applyAlignment="1" applyProtection="1">
      <alignment vertical="center"/>
      <protection locked="0"/>
    </xf>
    <xf numFmtId="0" fontId="0" fillId="2" borderId="1" xfId="0" quotePrefix="1" applyFill="1" applyBorder="1" applyAlignment="1" applyProtection="1">
      <alignment vertical="center"/>
      <protection locked="0"/>
    </xf>
    <xf numFmtId="0" fontId="0" fillId="2" borderId="15" xfId="0" quotePrefix="1" applyFill="1" applyBorder="1" applyAlignment="1" applyProtection="1">
      <alignment vertical="center"/>
      <protection locked="0"/>
    </xf>
    <xf numFmtId="0" fontId="0" fillId="2" borderId="15" xfId="0" applyFill="1" applyBorder="1" applyAlignment="1" applyProtection="1">
      <alignment vertical="center"/>
      <protection locked="0"/>
    </xf>
    <xf numFmtId="164" fontId="0" fillId="2" borderId="1" xfId="0" quotePrefix="1" applyNumberFormat="1" applyFill="1" applyBorder="1" applyAlignment="1" applyProtection="1">
      <alignment vertical="center"/>
      <protection locked="0"/>
    </xf>
    <xf numFmtId="168" fontId="0" fillId="2" borderId="3" xfId="0" applyNumberFormat="1" applyFill="1" applyBorder="1" applyAlignment="1" applyProtection="1">
      <alignment vertical="center"/>
      <protection locked="0"/>
    </xf>
    <xf numFmtId="0" fontId="0" fillId="2" borderId="3" xfId="0" quotePrefix="1" applyFill="1" applyBorder="1" applyAlignment="1" applyProtection="1">
      <alignment vertical="center"/>
      <protection locked="0"/>
    </xf>
    <xf numFmtId="0" fontId="0" fillId="0" borderId="15" xfId="0" applyBorder="1" applyAlignment="1" applyProtection="1">
      <alignment vertical="center"/>
      <protection locked="0"/>
    </xf>
    <xf numFmtId="164" fontId="0" fillId="0" borderId="15" xfId="0" applyNumberFormat="1" applyFill="1" applyBorder="1" applyAlignment="1" applyProtection="1">
      <alignment vertical="center"/>
      <protection locked="0"/>
    </xf>
    <xf numFmtId="0" fontId="0" fillId="0" borderId="15" xfId="0" quotePrefix="1"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Protection="1">
      <protection locked="0"/>
    </xf>
    <xf numFmtId="0" fontId="0" fillId="0" borderId="1" xfId="0" applyBorder="1" applyAlignment="1" applyProtection="1">
      <alignment vertical="center"/>
      <protection locked="0"/>
    </xf>
    <xf numFmtId="0" fontId="0" fillId="0" borderId="6"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0" fillId="0" borderId="15" xfId="0" applyFill="1" applyBorder="1" applyAlignment="1" applyProtection="1">
      <alignment vertical="center"/>
      <protection locked="0"/>
    </xf>
    <xf numFmtId="0" fontId="0" fillId="0" borderId="34" xfId="0" applyBorder="1" applyProtection="1">
      <protection locked="0"/>
    </xf>
    <xf numFmtId="0" fontId="0" fillId="0" borderId="8" xfId="0" applyFill="1" applyBorder="1" applyAlignment="1" applyProtection="1">
      <alignment vertical="center"/>
      <protection locked="0"/>
    </xf>
    <xf numFmtId="0" fontId="0" fillId="0" borderId="9" xfId="0" applyBorder="1" applyProtection="1">
      <protection locked="0"/>
    </xf>
    <xf numFmtId="0" fontId="0" fillId="0" borderId="25" xfId="0" applyFill="1" applyBorder="1" applyAlignment="1" applyProtection="1">
      <alignment vertical="center"/>
      <protection locked="0"/>
    </xf>
    <xf numFmtId="0" fontId="0" fillId="0" borderId="28" xfId="0" applyBorder="1" applyProtection="1">
      <protection locked="0"/>
    </xf>
    <xf numFmtId="0" fontId="0" fillId="0" borderId="6" xfId="0" applyFill="1" applyBorder="1" applyProtection="1">
      <protection locked="0"/>
    </xf>
    <xf numFmtId="0" fontId="0" fillId="0" borderId="1" xfId="0" applyFill="1" applyBorder="1" applyAlignment="1" applyProtection="1">
      <alignment vertical="center" wrapText="1"/>
      <protection locked="0"/>
    </xf>
    <xf numFmtId="165" fontId="0" fillId="0" borderId="15" xfId="0" applyNumberFormat="1"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4" xfId="0" applyBorder="1" applyProtection="1">
      <protection locked="0"/>
    </xf>
    <xf numFmtId="0" fontId="0" fillId="0" borderId="15" xfId="0" applyBorder="1" applyAlignment="1" applyProtection="1">
      <alignment vertical="center" wrapText="1"/>
      <protection locked="0"/>
    </xf>
    <xf numFmtId="167" fontId="0" fillId="0" borderId="1" xfId="0" applyNumberFormat="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4" xfId="0" applyFill="1" applyBorder="1" applyProtection="1">
      <protection locked="0"/>
    </xf>
    <xf numFmtId="0" fontId="0" fillId="0" borderId="32" xfId="0" applyFill="1" applyBorder="1"/>
    <xf numFmtId="0" fontId="0" fillId="0" borderId="3" xfId="0" applyFont="1" applyBorder="1" applyAlignment="1" applyProtection="1">
      <alignment horizontal="left"/>
      <protection locked="0"/>
    </xf>
    <xf numFmtId="0" fontId="2" fillId="0" borderId="4" xfId="0" applyFont="1" applyBorder="1" applyAlignment="1" applyProtection="1">
      <alignment horizontal="center"/>
      <protection locked="0"/>
    </xf>
    <xf numFmtId="0" fontId="0" fillId="0" borderId="0" xfId="0" applyProtection="1">
      <protection locked="0"/>
    </xf>
    <xf numFmtId="0" fontId="0" fillId="0" borderId="1" xfId="0" applyFont="1" applyBorder="1" applyAlignment="1" applyProtection="1">
      <alignment horizontal="left"/>
      <protection locked="0"/>
    </xf>
    <xf numFmtId="0" fontId="2" fillId="0" borderId="6" xfId="0" applyFont="1" applyBorder="1" applyAlignment="1" applyProtection="1">
      <alignment horizontal="center"/>
      <protection locked="0"/>
    </xf>
    <xf numFmtId="0" fontId="0" fillId="0" borderId="1" xfId="0" applyBorder="1" applyAlignment="1" applyProtection="1">
      <alignment horizontal="left"/>
      <protection locked="0"/>
    </xf>
    <xf numFmtId="9" fontId="0" fillId="0" borderId="1" xfId="1" quotePrefix="1" applyFont="1" applyBorder="1" applyProtection="1">
      <protection locked="0"/>
    </xf>
    <xf numFmtId="9" fontId="0" fillId="0" borderId="6" xfId="1" applyFont="1" applyBorder="1" applyProtection="1">
      <protection locked="0"/>
    </xf>
    <xf numFmtId="9" fontId="0" fillId="0" borderId="8" xfId="1" quotePrefix="1" applyFont="1" applyBorder="1" applyProtection="1">
      <protection locked="0"/>
    </xf>
    <xf numFmtId="9" fontId="0" fillId="0" borderId="9" xfId="1" applyFont="1" applyBorder="1" applyProtection="1">
      <protection locked="0"/>
    </xf>
    <xf numFmtId="9" fontId="0" fillId="0" borderId="31" xfId="1" applyFont="1" applyBorder="1" applyProtection="1">
      <protection locked="0"/>
    </xf>
    <xf numFmtId="9" fontId="0" fillId="0" borderId="32" xfId="1" applyFont="1" applyBorder="1" applyProtection="1">
      <protection locked="0"/>
    </xf>
    <xf numFmtId="0" fontId="0" fillId="0" borderId="6" xfId="0"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24" xfId="0" applyBorder="1" applyAlignment="1" applyProtection="1">
      <alignment vertical="center" wrapText="1"/>
      <protection locked="0"/>
    </xf>
    <xf numFmtId="0" fontId="0" fillId="0" borderId="32" xfId="0" applyFill="1" applyBorder="1" applyAlignment="1" applyProtection="1">
      <alignment vertical="center" wrapText="1"/>
      <protection locked="0"/>
    </xf>
    <xf numFmtId="0" fontId="0" fillId="0" borderId="0" xfId="0" applyAlignment="1" applyProtection="1">
      <alignment vertical="center" wrapText="1"/>
      <protection locked="0"/>
    </xf>
    <xf numFmtId="0" fontId="0" fillId="0" borderId="0" xfId="0" applyAlignment="1" applyProtection="1">
      <alignment vertical="center"/>
      <protection locked="0"/>
    </xf>
    <xf numFmtId="0" fontId="0" fillId="0" borderId="17" xfId="0" quotePrefix="1" applyFill="1" applyBorder="1" applyAlignment="1">
      <alignment vertical="center" wrapText="1"/>
    </xf>
    <xf numFmtId="164" fontId="0" fillId="2" borderId="1" xfId="0" applyNumberFormat="1" applyFill="1" applyBorder="1" applyAlignment="1" applyProtection="1">
      <alignment vertical="center" wrapText="1"/>
      <protection locked="0"/>
    </xf>
    <xf numFmtId="165" fontId="0" fillId="2" borderId="1" xfId="0" applyNumberFormat="1" applyFill="1" applyBorder="1" applyAlignment="1" applyProtection="1">
      <alignment vertical="center" wrapText="1"/>
      <protection locked="0"/>
    </xf>
    <xf numFmtId="4" fontId="0" fillId="2" borderId="1" xfId="0" applyNumberFormat="1" applyFill="1" applyBorder="1" applyAlignment="1" applyProtection="1">
      <alignment vertical="center" wrapText="1"/>
      <protection locked="0"/>
    </xf>
    <xf numFmtId="3" fontId="0" fillId="2" borderId="8" xfId="0" applyNumberFormat="1" applyFill="1" applyBorder="1" applyAlignment="1" applyProtection="1">
      <alignment vertical="center" wrapText="1"/>
      <protection locked="0"/>
    </xf>
    <xf numFmtId="9" fontId="0" fillId="2" borderId="1" xfId="1" applyFont="1" applyFill="1" applyBorder="1" applyAlignment="1" applyProtection="1">
      <alignment vertical="center" wrapText="1"/>
      <protection locked="0"/>
    </xf>
    <xf numFmtId="9" fontId="0" fillId="2" borderId="8" xfId="1" applyFont="1" applyFill="1" applyBorder="1" applyAlignment="1" applyProtection="1">
      <alignment vertical="center" wrapText="1"/>
      <protection locked="0"/>
    </xf>
    <xf numFmtId="0" fontId="0" fillId="2" borderId="10" xfId="0" applyFill="1" applyBorder="1" applyAlignment="1" applyProtection="1">
      <alignment horizontal="center" vertical="center"/>
      <protection locked="0"/>
    </xf>
    <xf numFmtId="0" fontId="0" fillId="0" borderId="26" xfId="0" applyBorder="1" applyAlignment="1">
      <alignment vertical="center"/>
    </xf>
    <xf numFmtId="164" fontId="0" fillId="0" borderId="36" xfId="3" applyNumberFormat="1" applyFont="1" applyFill="1" applyBorder="1" applyAlignment="1" applyProtection="1">
      <alignment vertical="center" wrapText="1"/>
    </xf>
    <xf numFmtId="164" fontId="0" fillId="2" borderId="15" xfId="0" applyNumberFormat="1" applyFill="1" applyBorder="1" applyAlignment="1" applyProtection="1">
      <alignment vertical="center" wrapText="1"/>
      <protection locked="0"/>
    </xf>
    <xf numFmtId="164" fontId="0" fillId="0" borderId="26" xfId="0" applyNumberFormat="1" applyFill="1" applyBorder="1" applyAlignment="1">
      <alignment vertical="center"/>
    </xf>
    <xf numFmtId="166" fontId="0" fillId="0" borderId="25" xfId="0" applyNumberFormat="1" applyBorder="1" applyAlignment="1">
      <alignment vertical="center"/>
    </xf>
    <xf numFmtId="0" fontId="2" fillId="0" borderId="25" xfId="0" applyFont="1" applyBorder="1" applyAlignment="1">
      <alignment horizontal="left" vertical="center" wrapText="1"/>
    </xf>
    <xf numFmtId="0" fontId="0" fillId="0" borderId="25" xfId="0" quotePrefix="1" applyBorder="1" applyAlignment="1">
      <alignment vertical="center"/>
    </xf>
    <xf numFmtId="164" fontId="0" fillId="2" borderId="25" xfId="0" applyNumberForma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6" xfId="0" applyBorder="1" applyAlignment="1" applyProtection="1">
      <alignment vertical="center"/>
      <protection locked="0"/>
    </xf>
    <xf numFmtId="0" fontId="0" fillId="0" borderId="34" xfId="0" applyBorder="1" applyAlignment="1" applyProtection="1">
      <alignment vertical="center"/>
      <protection locked="0"/>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0" fillId="0" borderId="17" xfId="0" applyBorder="1" applyAlignment="1" applyProtection="1">
      <alignment vertical="center"/>
      <protection locked="0"/>
    </xf>
    <xf numFmtId="0" fontId="0" fillId="0" borderId="23" xfId="0" applyBorder="1" applyAlignment="1" applyProtection="1">
      <alignment vertical="center"/>
      <protection locked="0"/>
    </xf>
    <xf numFmtId="0" fontId="0" fillId="0" borderId="25" xfId="0" applyBorder="1" applyAlignment="1" applyProtection="1">
      <alignment vertical="center"/>
      <protection locked="0"/>
    </xf>
    <xf numFmtId="0" fontId="0" fillId="0" borderId="28" xfId="0" applyBorder="1" applyAlignment="1" applyProtection="1">
      <alignment vertical="center"/>
      <protection locked="0"/>
    </xf>
    <xf numFmtId="0" fontId="0" fillId="0" borderId="32" xfId="0" applyBorder="1" applyAlignment="1" applyProtection="1">
      <alignment vertical="center"/>
      <protection locked="0"/>
    </xf>
    <xf numFmtId="166" fontId="0" fillId="0" borderId="10" xfId="1" applyNumberFormat="1" applyFont="1" applyBorder="1" applyAlignment="1">
      <alignment vertical="center"/>
    </xf>
    <xf numFmtId="0" fontId="2" fillId="0" borderId="10" xfId="0" applyFont="1" applyBorder="1" applyAlignment="1">
      <alignment horizontal="left" vertical="center" wrapText="1"/>
    </xf>
    <xf numFmtId="0" fontId="0" fillId="0" borderId="10" xfId="0" applyBorder="1" applyAlignment="1">
      <alignment vertical="center"/>
    </xf>
    <xf numFmtId="0" fontId="0" fillId="0" borderId="10" xfId="0" quotePrefix="1" applyBorder="1" applyAlignment="1">
      <alignment vertical="center"/>
    </xf>
    <xf numFmtId="3" fontId="0" fillId="0" borderId="1" xfId="0" applyNumberFormat="1" applyFill="1" applyBorder="1" applyAlignment="1" applyProtection="1">
      <alignment vertical="center"/>
      <protection locked="0"/>
    </xf>
    <xf numFmtId="168" fontId="0" fillId="0" borderId="10" xfId="0" applyNumberFormat="1" applyFill="1" applyBorder="1" applyAlignment="1" applyProtection="1">
      <alignment vertical="center"/>
      <protection locked="0"/>
    </xf>
    <xf numFmtId="3" fontId="0" fillId="0" borderId="15" xfId="0" applyNumberFormat="1" applyFill="1" applyBorder="1" applyAlignment="1" applyProtection="1">
      <alignment vertical="center"/>
      <protection locked="0"/>
    </xf>
    <xf numFmtId="0" fontId="0" fillId="0" borderId="10" xfId="0" quotePrefix="1" applyFill="1" applyBorder="1" applyAlignment="1" applyProtection="1">
      <alignment vertical="center"/>
      <protection locked="0"/>
    </xf>
    <xf numFmtId="0" fontId="0" fillId="0" borderId="1" xfId="0" quotePrefix="1" applyFill="1" applyBorder="1" applyAlignment="1" applyProtection="1">
      <alignment vertical="center"/>
      <protection locked="0"/>
    </xf>
    <xf numFmtId="0" fontId="0" fillId="0" borderId="15" xfId="0" quotePrefix="1" applyFill="1" applyBorder="1" applyAlignment="1" applyProtection="1">
      <alignment vertical="center"/>
      <protection locked="0"/>
    </xf>
    <xf numFmtId="0" fontId="2" fillId="0" borderId="15" xfId="0" applyFont="1" applyBorder="1" applyAlignment="1" applyProtection="1">
      <alignment horizontal="left" vertical="center" wrapText="1"/>
      <protection locked="0"/>
    </xf>
    <xf numFmtId="168" fontId="0" fillId="0" borderId="0" xfId="0" applyNumberFormat="1"/>
    <xf numFmtId="164" fontId="0" fillId="0" borderId="7" xfId="0" applyNumberFormat="1" applyFill="1" applyBorder="1" applyAlignment="1">
      <alignment vertical="center" wrapText="1"/>
    </xf>
    <xf numFmtId="166" fontId="0" fillId="0" borderId="8" xfId="1" applyNumberFormat="1" applyFont="1" applyFill="1" applyBorder="1" applyAlignment="1">
      <alignment vertical="center" wrapText="1"/>
    </xf>
    <xf numFmtId="166" fontId="0" fillId="0" borderId="15" xfId="1" applyNumberFormat="1" applyFont="1" applyBorder="1" applyAlignment="1">
      <alignment vertical="center" wrapText="1"/>
    </xf>
    <xf numFmtId="0" fontId="0" fillId="0" borderId="15" xfId="0" applyBorder="1" applyAlignment="1">
      <alignment vertical="center" wrapText="1"/>
    </xf>
    <xf numFmtId="166" fontId="0" fillId="0" borderId="37" xfId="1" applyNumberFormat="1" applyFont="1" applyBorder="1" applyAlignment="1">
      <alignment vertical="center" wrapText="1"/>
    </xf>
    <xf numFmtId="0" fontId="0" fillId="0" borderId="37" xfId="0" applyBorder="1" applyAlignment="1">
      <alignment vertical="center" wrapText="1"/>
    </xf>
    <xf numFmtId="164" fontId="0" fillId="0" borderId="37" xfId="0" applyNumberFormat="1" applyFill="1" applyBorder="1" applyAlignment="1">
      <alignment vertical="center" wrapText="1"/>
    </xf>
    <xf numFmtId="166" fontId="0" fillId="0" borderId="38" xfId="1" applyNumberFormat="1" applyFont="1" applyBorder="1" applyAlignment="1">
      <alignment vertical="center" wrapText="1"/>
    </xf>
    <xf numFmtId="0" fontId="0" fillId="0" borderId="38" xfId="0" applyBorder="1" applyAlignment="1">
      <alignment vertical="center" wrapText="1"/>
    </xf>
    <xf numFmtId="164" fontId="0" fillId="0" borderId="38" xfId="0" applyNumberFormat="1" applyFill="1" applyBorder="1" applyAlignment="1">
      <alignment vertical="center" wrapText="1"/>
    </xf>
    <xf numFmtId="3" fontId="0" fillId="0" borderId="1" xfId="0" applyNumberFormat="1" applyFill="1" applyBorder="1" applyAlignment="1" applyProtection="1">
      <alignment vertical="center" wrapText="1"/>
      <protection locked="0"/>
    </xf>
    <xf numFmtId="0" fontId="0" fillId="0" borderId="1" xfId="0" applyFont="1" applyBorder="1" applyAlignment="1">
      <alignment horizontal="left" vertical="center" wrapText="1" indent="1"/>
    </xf>
    <xf numFmtId="166" fontId="0" fillId="0" borderId="1" xfId="1" applyNumberFormat="1" applyFont="1" applyFill="1" applyBorder="1" applyAlignment="1">
      <alignment vertical="center" wrapText="1"/>
    </xf>
    <xf numFmtId="0" fontId="0" fillId="0" borderId="1" xfId="0" applyFont="1" applyFill="1" applyBorder="1" applyAlignment="1">
      <alignment horizontal="left" vertical="center" wrapText="1" indent="1"/>
    </xf>
    <xf numFmtId="3" fontId="0" fillId="0" borderId="0" xfId="0" applyNumberFormat="1" applyProtection="1">
      <protection locked="0"/>
    </xf>
    <xf numFmtId="3" fontId="0" fillId="0" borderId="0" xfId="0" applyNumberFormat="1"/>
    <xf numFmtId="164" fontId="6" fillId="0" borderId="1" xfId="0" applyNumberFormat="1" applyFont="1" applyFill="1" applyBorder="1" applyAlignment="1">
      <alignment vertical="center"/>
    </xf>
    <xf numFmtId="165" fontId="0" fillId="2" borderId="15" xfId="0" applyNumberFormat="1" applyFill="1" applyBorder="1" applyAlignment="1" applyProtection="1">
      <alignment vertical="center" wrapText="1"/>
      <protection locked="0"/>
    </xf>
    <xf numFmtId="165" fontId="0" fillId="0" borderId="15" xfId="0" applyNumberFormat="1" applyFill="1" applyBorder="1" applyAlignment="1">
      <alignment vertical="center" wrapText="1"/>
    </xf>
    <xf numFmtId="164" fontId="0" fillId="0" borderId="39" xfId="0" applyNumberFormat="1" applyBorder="1" applyAlignment="1">
      <alignment vertical="center" wrapText="1"/>
    </xf>
    <xf numFmtId="0" fontId="2" fillId="0" borderId="37" xfId="0" applyFont="1" applyBorder="1" applyAlignment="1">
      <alignment horizontal="left" vertical="center" wrapText="1"/>
    </xf>
    <xf numFmtId="3" fontId="0" fillId="0" borderId="37" xfId="0" applyNumberFormat="1" applyFill="1" applyBorder="1" applyAlignment="1">
      <alignment vertical="center" wrapText="1"/>
    </xf>
    <xf numFmtId="165" fontId="0" fillId="0" borderId="37" xfId="0" applyNumberFormat="1" applyFill="1" applyBorder="1" applyAlignment="1">
      <alignment vertical="center" wrapText="1"/>
    </xf>
    <xf numFmtId="0" fontId="0" fillId="0" borderId="3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1" xfId="0" applyBorder="1" applyAlignment="1">
      <alignment horizontal="left" indent="1"/>
    </xf>
    <xf numFmtId="164" fontId="0" fillId="0" borderId="41" xfId="0" applyNumberFormat="1" applyBorder="1" applyAlignment="1">
      <alignment vertical="center" wrapText="1"/>
    </xf>
    <xf numFmtId="0" fontId="0" fillId="0" borderId="38" xfId="0" applyBorder="1" applyAlignment="1">
      <alignment horizontal="left" vertical="center" wrapText="1"/>
    </xf>
    <xf numFmtId="3" fontId="0" fillId="0" borderId="38" xfId="0" applyNumberFormat="1" applyFill="1" applyBorder="1" applyAlignment="1">
      <alignment vertical="center" wrapText="1"/>
    </xf>
    <xf numFmtId="0" fontId="0" fillId="0" borderId="38" xfId="0" quotePrefix="1" applyBorder="1" applyAlignment="1">
      <alignment vertical="center" wrapText="1"/>
    </xf>
    <xf numFmtId="164" fontId="0" fillId="2" borderId="38" xfId="0" applyNumberFormat="1" applyFill="1" applyBorder="1" applyAlignment="1" applyProtection="1">
      <alignment vertical="center" wrapText="1"/>
      <protection locked="0"/>
    </xf>
    <xf numFmtId="0" fontId="0" fillId="0" borderId="38" xfId="0" applyBorder="1" applyAlignment="1" applyProtection="1">
      <alignment vertical="center" wrapText="1"/>
      <protection locked="0"/>
    </xf>
    <xf numFmtId="0" fontId="0" fillId="0" borderId="42" xfId="0" applyBorder="1" applyAlignment="1" applyProtection="1">
      <alignment vertical="center" wrapText="1"/>
      <protection locked="0"/>
    </xf>
    <xf numFmtId="0" fontId="0" fillId="0" borderId="1" xfId="0" quotePrefix="1" applyBorder="1"/>
    <xf numFmtId="0" fontId="0" fillId="0" borderId="30" xfId="0" quotePrefix="1" applyBorder="1" applyAlignment="1">
      <alignment vertical="center" wrapText="1"/>
    </xf>
    <xf numFmtId="0" fontId="0" fillId="0" borderId="0" xfId="0" applyAlignment="1">
      <alignment wrapText="1"/>
    </xf>
    <xf numFmtId="0" fontId="2" fillId="0" borderId="0" xfId="0" applyFont="1" applyAlignment="1">
      <alignment wrapText="1"/>
    </xf>
    <xf numFmtId="0" fontId="3" fillId="2" borderId="0" xfId="0" quotePrefix="1" applyFont="1" applyFill="1" applyAlignment="1" applyProtection="1">
      <protection locked="0"/>
    </xf>
    <xf numFmtId="0" fontId="0" fillId="0" borderId="0" xfId="0" applyAlignment="1" applyProtection="1">
      <protection locked="0"/>
    </xf>
    <xf numFmtId="0" fontId="3" fillId="0" borderId="0" xfId="0" applyFont="1" applyAlignment="1">
      <alignment wrapText="1"/>
    </xf>
    <xf numFmtId="0" fontId="0" fillId="0" borderId="0" xfId="0" applyAlignment="1">
      <alignment wrapText="1"/>
    </xf>
  </cellXfs>
  <cellStyles count="4">
    <cellStyle name="Comma" xfId="3" builtinId="3"/>
    <cellStyle name="Currency" xfId="2" builtinId="4"/>
    <cellStyle name="Normal" xfId="0" builtinId="0"/>
    <cellStyle name="Percent" xfId="1" builtinId="5"/>
  </cellStyles>
  <dxfs count="0"/>
  <tableStyles count="0" defaultTableStyle="TableStyleMedium2" defaultPivotStyle="PivotStyleLight16"/>
  <colors>
    <mruColors>
      <color rgb="FFCCFFFF"/>
      <color rgb="FFFFFFCC"/>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1</xdr:rowOff>
    </xdr:from>
    <xdr:to>
      <xdr:col>2</xdr:col>
      <xdr:colOff>1953705</xdr:colOff>
      <xdr:row>3</xdr:row>
      <xdr:rowOff>21896</xdr:rowOff>
    </xdr:to>
    <xdr:pic>
      <xdr:nvPicPr>
        <xdr:cNvPr id="2" name="Picture 1">
          <a:extLst>
            <a:ext uri="{FF2B5EF4-FFF2-40B4-BE49-F238E27FC236}">
              <a16:creationId xmlns:a16="http://schemas.microsoft.com/office/drawing/2014/main" id="{BB18BB54-1624-DAD3-1728-DF5B5B239130}"/>
            </a:ext>
          </a:extLst>
        </xdr:cNvPr>
        <xdr:cNvPicPr>
          <a:picLocks noChangeAspect="1"/>
        </xdr:cNvPicPr>
      </xdr:nvPicPr>
      <xdr:blipFill>
        <a:blip xmlns:r="http://schemas.openxmlformats.org/officeDocument/2006/relationships" r:embed="rId1"/>
        <a:stretch>
          <a:fillRect/>
        </a:stretch>
      </xdr:blipFill>
      <xdr:spPr>
        <a:xfrm>
          <a:off x="1510862" y="472967"/>
          <a:ext cx="1950530" cy="223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BECF8-FA45-4379-8A44-E92A9F433454}">
  <dimension ref="A1:A22"/>
  <sheetViews>
    <sheetView workbookViewId="0">
      <selection activeCell="A22" sqref="A22"/>
    </sheetView>
  </sheetViews>
  <sheetFormatPr defaultRowHeight="14.5" x14ac:dyDescent="0.35"/>
  <cols>
    <col min="1" max="1" width="106.453125" style="393" customWidth="1"/>
  </cols>
  <sheetData>
    <row r="1" spans="1:1" x14ac:dyDescent="0.35">
      <c r="A1" s="394" t="s">
        <v>263</v>
      </c>
    </row>
    <row r="2" spans="1:1" x14ac:dyDescent="0.35">
      <c r="A2" s="394" t="s">
        <v>279</v>
      </c>
    </row>
    <row r="3" spans="1:1" ht="43.5" x14ac:dyDescent="0.35">
      <c r="A3" s="393" t="s">
        <v>271</v>
      </c>
    </row>
    <row r="4" spans="1:1" ht="58" x14ac:dyDescent="0.35">
      <c r="A4" s="393" t="s">
        <v>264</v>
      </c>
    </row>
    <row r="5" spans="1:1" ht="58" x14ac:dyDescent="0.35">
      <c r="A5" s="54" t="s">
        <v>278</v>
      </c>
    </row>
    <row r="6" spans="1:1" x14ac:dyDescent="0.35">
      <c r="A6" s="394" t="s">
        <v>265</v>
      </c>
    </row>
    <row r="7" spans="1:1" ht="43.5" x14ac:dyDescent="0.35">
      <c r="A7" s="393" t="s">
        <v>266</v>
      </c>
    </row>
    <row r="8" spans="1:1" ht="29" x14ac:dyDescent="0.35">
      <c r="A8" s="393" t="s">
        <v>267</v>
      </c>
    </row>
    <row r="9" spans="1:1" ht="145" x14ac:dyDescent="0.35">
      <c r="A9" s="393" t="s">
        <v>268</v>
      </c>
    </row>
    <row r="10" spans="1:1" ht="87" x14ac:dyDescent="0.35">
      <c r="A10" s="393" t="s">
        <v>269</v>
      </c>
    </row>
    <row r="11" spans="1:1" ht="72.5" x14ac:dyDescent="0.35">
      <c r="A11" s="393" t="s">
        <v>270</v>
      </c>
    </row>
    <row r="13" spans="1:1" x14ac:dyDescent="0.35">
      <c r="A13" s="394" t="s">
        <v>272</v>
      </c>
    </row>
    <row r="14" spans="1:1" ht="101.5" x14ac:dyDescent="0.35">
      <c r="A14" s="393" t="s">
        <v>273</v>
      </c>
    </row>
    <row r="16" spans="1:1" x14ac:dyDescent="0.35">
      <c r="A16" s="394" t="s">
        <v>274</v>
      </c>
    </row>
    <row r="17" spans="1:1" ht="116" x14ac:dyDescent="0.35">
      <c r="A17" s="393" t="s">
        <v>280</v>
      </c>
    </row>
    <row r="18" spans="1:1" ht="58" x14ac:dyDescent="0.35">
      <c r="A18" s="393" t="s">
        <v>275</v>
      </c>
    </row>
    <row r="19" spans="1:1" ht="43.5" x14ac:dyDescent="0.35">
      <c r="A19" s="393" t="s">
        <v>276</v>
      </c>
    </row>
    <row r="20" spans="1:1" ht="72.5" x14ac:dyDescent="0.35">
      <c r="A20" s="393" t="s">
        <v>277</v>
      </c>
    </row>
    <row r="22" spans="1:1" x14ac:dyDescent="0.35">
      <c r="A22" s="394"/>
    </row>
  </sheetData>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7FCD-5DAB-43C4-BD9D-EA225D9975AD}">
  <dimension ref="A1:A7"/>
  <sheetViews>
    <sheetView tabSelected="1" workbookViewId="0">
      <selection activeCell="M8" sqref="M8"/>
    </sheetView>
  </sheetViews>
  <sheetFormatPr defaultRowHeight="14.5" x14ac:dyDescent="0.35"/>
  <cols>
    <col min="1" max="1" width="20.7265625" customWidth="1"/>
  </cols>
  <sheetData>
    <row r="1" spans="1:1" x14ac:dyDescent="0.35">
      <c r="A1" t="s">
        <v>262</v>
      </c>
    </row>
    <row r="2" spans="1:1" x14ac:dyDescent="0.35">
      <c r="A2" t="s">
        <v>261</v>
      </c>
    </row>
    <row r="3" spans="1:1" x14ac:dyDescent="0.35">
      <c r="A3" t="s">
        <v>259</v>
      </c>
    </row>
    <row r="4" spans="1:1" x14ac:dyDescent="0.35">
      <c r="A4" t="s">
        <v>258</v>
      </c>
    </row>
    <row r="5" spans="1:1" x14ac:dyDescent="0.35">
      <c r="A5" t="s">
        <v>260</v>
      </c>
    </row>
    <row r="6" spans="1:1" x14ac:dyDescent="0.35">
      <c r="A6" t="s">
        <v>257</v>
      </c>
    </row>
    <row r="7" spans="1:1" x14ac:dyDescent="0.35">
      <c r="A7" t="s">
        <v>281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2ECCC-67EA-422B-9565-4336260E9982}">
  <dimension ref="A1:M32"/>
  <sheetViews>
    <sheetView zoomScale="125" zoomScaleNormal="125" workbookViewId="0">
      <selection sqref="A1:C1"/>
    </sheetView>
  </sheetViews>
  <sheetFormatPr defaultRowHeight="14.5" x14ac:dyDescent="0.35"/>
  <cols>
    <col min="1" max="1" width="12.81640625" customWidth="1"/>
    <col min="3" max="3" width="68.54296875" customWidth="1"/>
    <col min="4" max="5" width="40.54296875" customWidth="1"/>
  </cols>
  <sheetData>
    <row r="1" spans="1:13" ht="18.5" x14ac:dyDescent="0.45">
      <c r="A1" s="395" t="s">
        <v>0</v>
      </c>
      <c r="B1" s="396"/>
      <c r="C1" s="396"/>
      <c r="D1" s="257" t="s">
        <v>1</v>
      </c>
      <c r="E1" t="s">
        <v>2</v>
      </c>
    </row>
    <row r="2" spans="1:13" ht="18.5" x14ac:dyDescent="0.45">
      <c r="C2" s="4" t="s">
        <v>3</v>
      </c>
    </row>
    <row r="3" spans="1:13" ht="16" thickBot="1" x14ac:dyDescent="0.4">
      <c r="A3" s="5" t="s">
        <v>4</v>
      </c>
    </row>
    <row r="4" spans="1:13" ht="29.5" thickBot="1" x14ac:dyDescent="0.4">
      <c r="A4" s="94" t="s">
        <v>5</v>
      </c>
      <c r="B4" s="80" t="s">
        <v>6</v>
      </c>
      <c r="C4" s="80" t="s">
        <v>7</v>
      </c>
      <c r="D4" s="95" t="s">
        <v>8</v>
      </c>
      <c r="E4" s="96" t="s">
        <v>9</v>
      </c>
    </row>
    <row r="5" spans="1:13" x14ac:dyDescent="0.35">
      <c r="A5" s="13"/>
      <c r="B5" s="253">
        <v>1</v>
      </c>
      <c r="C5" s="102" t="s">
        <v>10</v>
      </c>
      <c r="D5" s="298" t="s">
        <v>11</v>
      </c>
      <c r="E5" s="299"/>
      <c r="F5" s="300"/>
      <c r="G5" s="300"/>
      <c r="H5" s="300"/>
      <c r="I5" s="300"/>
      <c r="J5" s="300"/>
      <c r="K5" s="300"/>
      <c r="L5" s="300"/>
      <c r="M5" s="300"/>
    </row>
    <row r="6" spans="1:13" x14ac:dyDescent="0.35">
      <c r="A6" s="103"/>
      <c r="B6" s="254">
        <v>1</v>
      </c>
      <c r="C6" s="104" t="s">
        <v>12</v>
      </c>
      <c r="D6" s="301" t="s">
        <v>13</v>
      </c>
      <c r="E6" s="302"/>
      <c r="F6" s="300"/>
      <c r="G6" s="300"/>
      <c r="H6" s="300"/>
      <c r="I6" s="300"/>
      <c r="J6" s="300"/>
      <c r="K6" s="300"/>
      <c r="L6" s="300"/>
      <c r="M6" s="300"/>
    </row>
    <row r="7" spans="1:13" x14ac:dyDescent="0.35">
      <c r="A7" s="3">
        <f>'Dam Removal Cost'!A74*$B$5*$B$6</f>
        <v>0</v>
      </c>
      <c r="B7" s="17" t="str">
        <f>IF($A$10&gt;0,A7/$A$10,"%")</f>
        <v>%</v>
      </c>
      <c r="C7" s="19" t="str">
        <f>'Dam Removal Cost'!A2</f>
        <v xml:space="preserve">Dam Removal Cost </v>
      </c>
      <c r="D7" s="303"/>
      <c r="E7" s="277"/>
      <c r="F7" s="300"/>
      <c r="G7" s="300"/>
      <c r="H7" s="300"/>
      <c r="I7" s="300"/>
      <c r="J7" s="300"/>
      <c r="K7" s="300"/>
      <c r="L7" s="300"/>
      <c r="M7" s="300"/>
    </row>
    <row r="8" spans="1:13" x14ac:dyDescent="0.35">
      <c r="A8" s="3">
        <f>'Reservoir Sed Mgt &amp; Mit Cost'!A68*$B$5*$B$6</f>
        <v>0</v>
      </c>
      <c r="B8" s="17" t="str">
        <f>IF($A$10&gt;0,A8/$A$10,"%")</f>
        <v>%</v>
      </c>
      <c r="C8" s="2" t="str">
        <f>'Reservoir Sed Mgt &amp; Mit Cost'!A2</f>
        <v>Reservoir Sediment Management &amp; Mitigation</v>
      </c>
      <c r="D8" s="303"/>
      <c r="E8" s="277"/>
      <c r="F8" s="300"/>
      <c r="G8" s="300"/>
      <c r="H8" s="300"/>
      <c r="I8" s="300"/>
      <c r="J8" s="300"/>
      <c r="K8" s="300"/>
      <c r="L8" s="300"/>
      <c r="M8" s="300"/>
    </row>
    <row r="9" spans="1:13" x14ac:dyDescent="0.35">
      <c r="A9" s="3">
        <f>'Downstream Mitigation Cost'!A57*$B$5*$B$6</f>
        <v>0</v>
      </c>
      <c r="B9" s="17" t="str">
        <f>IF($A$10&gt;0,A9/$A$10,"%")</f>
        <v>%</v>
      </c>
      <c r="C9" s="19" t="str">
        <f>'Downstream Mitigation Cost'!A2</f>
        <v>Downstream Mitigation &amp; Monitoring</v>
      </c>
      <c r="D9" s="303"/>
      <c r="E9" s="277"/>
      <c r="F9" s="300"/>
      <c r="G9" s="300"/>
      <c r="H9" s="300"/>
      <c r="I9" s="300"/>
      <c r="J9" s="300"/>
      <c r="K9" s="300"/>
      <c r="L9" s="300"/>
      <c r="M9" s="300"/>
    </row>
    <row r="10" spans="1:13" x14ac:dyDescent="0.35">
      <c r="A10" s="9">
        <f>SUM(A7:A9)</f>
        <v>0</v>
      </c>
      <c r="B10" s="18">
        <f>SUM(B7:B9)</f>
        <v>0</v>
      </c>
      <c r="C10" s="20" t="s">
        <v>14</v>
      </c>
      <c r="D10" s="303"/>
      <c r="E10" s="277"/>
      <c r="F10" s="300"/>
      <c r="G10" s="300"/>
      <c r="H10" s="300"/>
      <c r="I10" s="300"/>
      <c r="J10" s="300"/>
      <c r="K10" s="300"/>
      <c r="L10" s="300"/>
      <c r="M10" s="300"/>
    </row>
    <row r="11" spans="1:13" ht="29" x14ac:dyDescent="0.35">
      <c r="A11" s="3">
        <f>A10*B11</f>
        <v>0</v>
      </c>
      <c r="B11" s="255">
        <v>0</v>
      </c>
      <c r="C11" s="21" t="s">
        <v>15</v>
      </c>
      <c r="D11" s="304" t="s">
        <v>16</v>
      </c>
      <c r="E11" s="305"/>
      <c r="F11" s="300"/>
      <c r="G11" s="300"/>
      <c r="H11" s="300"/>
      <c r="I11" s="300"/>
      <c r="J11" s="300"/>
      <c r="K11" s="300"/>
      <c r="L11" s="300"/>
      <c r="M11" s="300"/>
    </row>
    <row r="12" spans="1:13" ht="15" thickBot="1" x14ac:dyDescent="0.4">
      <c r="A12" s="100">
        <f>A10*B12</f>
        <v>0</v>
      </c>
      <c r="B12" s="256">
        <v>0</v>
      </c>
      <c r="C12" s="101" t="s">
        <v>17</v>
      </c>
      <c r="D12" s="306" t="s">
        <v>18</v>
      </c>
      <c r="E12" s="307" t="s">
        <v>19</v>
      </c>
      <c r="F12" s="300"/>
      <c r="G12" s="300"/>
      <c r="H12" s="300"/>
      <c r="I12" s="300"/>
      <c r="J12" s="300"/>
      <c r="K12" s="300"/>
      <c r="L12" s="300"/>
      <c r="M12" s="300"/>
    </row>
    <row r="13" spans="1:13" ht="15" thickBot="1" x14ac:dyDescent="0.4">
      <c r="A13" s="97">
        <f>SUM(A10:A12)</f>
        <v>0</v>
      </c>
      <c r="B13" s="98"/>
      <c r="C13" s="99" t="s">
        <v>20</v>
      </c>
      <c r="D13" s="308"/>
      <c r="E13" s="309"/>
      <c r="F13" s="300"/>
      <c r="G13" s="300"/>
      <c r="H13" s="300"/>
      <c r="I13" s="300"/>
      <c r="J13" s="300"/>
      <c r="K13" s="300"/>
      <c r="L13" s="300"/>
      <c r="M13" s="300"/>
    </row>
    <row r="14" spans="1:13" ht="15" thickBot="1" x14ac:dyDescent="0.4">
      <c r="A14" s="88">
        <f>A13*0.5</f>
        <v>0</v>
      </c>
      <c r="B14" s="89"/>
      <c r="C14" s="90" t="s">
        <v>21</v>
      </c>
      <c r="D14" s="300"/>
      <c r="E14" s="300"/>
      <c r="F14" s="300"/>
      <c r="G14" s="300"/>
      <c r="H14" s="300"/>
      <c r="I14" s="300"/>
      <c r="J14" s="300"/>
      <c r="K14" s="300"/>
      <c r="L14" s="300"/>
      <c r="M14" s="300"/>
    </row>
    <row r="15" spans="1:13" ht="15" thickBot="1" x14ac:dyDescent="0.4">
      <c r="A15" s="91">
        <f>A13*2</f>
        <v>0</v>
      </c>
      <c r="B15" s="92"/>
      <c r="C15" s="93" t="s">
        <v>22</v>
      </c>
      <c r="D15" s="300"/>
      <c r="E15" s="300"/>
      <c r="F15" s="300"/>
      <c r="G15" s="300"/>
      <c r="H15" s="300"/>
      <c r="I15" s="300"/>
      <c r="J15" s="300"/>
      <c r="K15" s="300"/>
      <c r="L15" s="300"/>
      <c r="M15" s="300"/>
    </row>
    <row r="16" spans="1:13" x14ac:dyDescent="0.35">
      <c r="D16" s="300"/>
      <c r="E16" s="300"/>
      <c r="F16" s="300"/>
      <c r="G16" s="300"/>
      <c r="H16" s="300"/>
      <c r="I16" s="300"/>
      <c r="J16" s="300"/>
      <c r="K16" s="300"/>
      <c r="L16" s="300"/>
      <c r="M16" s="300"/>
    </row>
    <row r="17" spans="1:13" x14ac:dyDescent="0.35">
      <c r="C17" s="79"/>
      <c r="D17" s="300"/>
      <c r="E17" s="300"/>
      <c r="F17" s="300"/>
      <c r="G17" s="300"/>
      <c r="H17" s="300"/>
      <c r="I17" s="300"/>
      <c r="J17" s="300"/>
      <c r="K17" s="300"/>
      <c r="L17" s="300"/>
      <c r="M17" s="300"/>
    </row>
    <row r="18" spans="1:13" x14ac:dyDescent="0.35">
      <c r="A18" s="85"/>
      <c r="C18" s="47"/>
      <c r="D18" s="300"/>
      <c r="E18" s="300"/>
      <c r="F18" s="300"/>
      <c r="G18" s="300"/>
      <c r="H18" s="300"/>
      <c r="I18" s="300"/>
      <c r="J18" s="300"/>
      <c r="K18" s="300"/>
      <c r="L18" s="300"/>
      <c r="M18" s="300"/>
    </row>
    <row r="19" spans="1:13" x14ac:dyDescent="0.35">
      <c r="A19" s="1"/>
      <c r="D19" s="300"/>
      <c r="E19" s="300"/>
      <c r="F19" s="300"/>
      <c r="G19" s="300"/>
      <c r="H19" s="300"/>
      <c r="I19" s="300"/>
      <c r="J19" s="300"/>
      <c r="K19" s="300"/>
      <c r="L19" s="300"/>
      <c r="M19" s="300"/>
    </row>
    <row r="20" spans="1:13" x14ac:dyDescent="0.35">
      <c r="A20" s="86"/>
      <c r="D20" s="300"/>
      <c r="E20" s="300"/>
      <c r="F20" s="300"/>
      <c r="G20" s="300"/>
      <c r="H20" s="300"/>
      <c r="I20" s="300"/>
      <c r="J20" s="300"/>
      <c r="K20" s="300"/>
      <c r="L20" s="300"/>
      <c r="M20" s="300"/>
    </row>
    <row r="21" spans="1:13" x14ac:dyDescent="0.35">
      <c r="D21" s="300"/>
      <c r="E21" s="300"/>
      <c r="F21" s="300"/>
      <c r="G21" s="300"/>
      <c r="H21" s="300"/>
      <c r="I21" s="300"/>
      <c r="J21" s="300"/>
      <c r="K21" s="300"/>
      <c r="L21" s="300"/>
      <c r="M21" s="300"/>
    </row>
    <row r="22" spans="1:13" x14ac:dyDescent="0.35">
      <c r="D22" s="300"/>
      <c r="E22" s="300"/>
      <c r="F22" s="300"/>
      <c r="G22" s="300"/>
      <c r="H22" s="300"/>
      <c r="I22" s="300"/>
      <c r="J22" s="300"/>
      <c r="K22" s="300"/>
      <c r="L22" s="300"/>
      <c r="M22" s="300"/>
    </row>
    <row r="23" spans="1:13" x14ac:dyDescent="0.35">
      <c r="D23" s="300"/>
      <c r="E23" s="300"/>
      <c r="F23" s="300"/>
      <c r="G23" s="300"/>
      <c r="H23" s="300"/>
      <c r="I23" s="300"/>
      <c r="J23" s="300"/>
      <c r="K23" s="300"/>
      <c r="L23" s="300"/>
      <c r="M23" s="300"/>
    </row>
    <row r="24" spans="1:13" x14ac:dyDescent="0.35">
      <c r="D24" s="300"/>
      <c r="E24" s="300"/>
      <c r="F24" s="300"/>
      <c r="G24" s="300"/>
      <c r="H24" s="300"/>
      <c r="I24" s="300"/>
      <c r="J24" s="300"/>
      <c r="K24" s="300"/>
      <c r="L24" s="300"/>
      <c r="M24" s="300"/>
    </row>
    <row r="25" spans="1:13" x14ac:dyDescent="0.35">
      <c r="D25" s="300"/>
      <c r="E25" s="300"/>
      <c r="F25" s="300"/>
      <c r="G25" s="300"/>
      <c r="H25" s="300"/>
      <c r="I25" s="300"/>
      <c r="J25" s="300"/>
      <c r="K25" s="300"/>
      <c r="L25" s="300"/>
      <c r="M25" s="300"/>
    </row>
    <row r="26" spans="1:13" x14ac:dyDescent="0.35">
      <c r="D26" s="300"/>
      <c r="E26" s="300"/>
      <c r="F26" s="300"/>
      <c r="G26" s="300"/>
      <c r="H26" s="300"/>
      <c r="I26" s="300"/>
      <c r="J26" s="300"/>
      <c r="K26" s="300"/>
      <c r="L26" s="300"/>
      <c r="M26" s="300"/>
    </row>
    <row r="27" spans="1:13" x14ac:dyDescent="0.35">
      <c r="D27" s="300"/>
      <c r="E27" s="300"/>
      <c r="F27" s="300"/>
      <c r="G27" s="300"/>
      <c r="H27" s="300"/>
      <c r="I27" s="300"/>
      <c r="J27" s="300"/>
      <c r="K27" s="300"/>
      <c r="L27" s="300"/>
      <c r="M27" s="300"/>
    </row>
    <row r="28" spans="1:13" x14ac:dyDescent="0.35">
      <c r="D28" s="300"/>
      <c r="E28" s="300"/>
      <c r="F28" s="300"/>
      <c r="G28" s="300"/>
      <c r="H28" s="300"/>
      <c r="I28" s="300"/>
      <c r="J28" s="300"/>
      <c r="K28" s="300"/>
      <c r="L28" s="300"/>
      <c r="M28" s="300"/>
    </row>
    <row r="29" spans="1:13" x14ac:dyDescent="0.35">
      <c r="D29" s="300"/>
      <c r="E29" s="300"/>
      <c r="F29" s="300"/>
      <c r="G29" s="300"/>
      <c r="H29" s="300"/>
      <c r="I29" s="300"/>
      <c r="J29" s="300"/>
      <c r="K29" s="300"/>
      <c r="L29" s="300"/>
      <c r="M29" s="300"/>
    </row>
    <row r="30" spans="1:13" x14ac:dyDescent="0.35">
      <c r="D30" s="300"/>
      <c r="E30" s="300"/>
      <c r="F30" s="300"/>
      <c r="G30" s="300"/>
      <c r="H30" s="300"/>
      <c r="I30" s="300"/>
      <c r="J30" s="300"/>
      <c r="K30" s="300"/>
      <c r="L30" s="300"/>
      <c r="M30" s="300"/>
    </row>
    <row r="31" spans="1:13" x14ac:dyDescent="0.35">
      <c r="D31" s="300"/>
      <c r="E31" s="300"/>
      <c r="F31" s="300"/>
      <c r="G31" s="300"/>
      <c r="H31" s="300"/>
      <c r="I31" s="300"/>
      <c r="J31" s="300"/>
      <c r="K31" s="300"/>
      <c r="L31" s="300"/>
      <c r="M31" s="300"/>
    </row>
    <row r="32" spans="1:13" x14ac:dyDescent="0.35">
      <c r="D32" s="300"/>
      <c r="E32" s="300"/>
      <c r="F32" s="300"/>
      <c r="G32" s="300"/>
      <c r="H32" s="300"/>
      <c r="I32" s="300"/>
      <c r="J32" s="300"/>
      <c r="K32" s="300"/>
      <c r="L32" s="300"/>
      <c r="M32" s="300"/>
    </row>
  </sheetData>
  <sheetProtection algorithmName="SHA-512" hashValue="d2ELRuxJAQkba8mjUsQ5F2TaiYHyoy+q5Pa4QJ3YBLtm+iUXMS4/R6IkJKuoZYigzM54rdDezdZVeknxgYPLpg==" saltValue="wTtgg97yna3LiLn1kCM5hQ==" spinCount="100000" sheet="1" formatCells="0" formatColumns="0" formatRows="0" insertColumns="0" insertRows="0"/>
  <mergeCells count="1">
    <mergeCell ref="A1:C1"/>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39396-9DA9-49E4-983A-73FAA6239A10}">
  <sheetPr>
    <tabColor rgb="FF00B050"/>
  </sheetPr>
  <dimension ref="A1:K88"/>
  <sheetViews>
    <sheetView zoomScale="125" zoomScaleNormal="125" workbookViewId="0">
      <pane xSplit="3" ySplit="5" topLeftCell="D67" activePane="bottomRight" state="frozen"/>
      <selection pane="topRight" activeCell="D1" sqref="D1"/>
      <selection pane="bottomLeft" activeCell="A5" sqref="A5"/>
      <selection pane="bottomRight" activeCell="D7" sqref="D7"/>
    </sheetView>
  </sheetViews>
  <sheetFormatPr defaultRowHeight="14.5" x14ac:dyDescent="0.35"/>
  <cols>
    <col min="1" max="1" width="13.81640625" customWidth="1"/>
    <col min="3" max="3" width="37.453125" customWidth="1"/>
    <col min="4" max="4" width="9.453125" bestFit="1" customWidth="1"/>
    <col min="5" max="5" width="9.453125" customWidth="1"/>
    <col min="6" max="6" width="11.453125" customWidth="1"/>
    <col min="7" max="7" width="9.453125" customWidth="1"/>
    <col min="8" max="8" width="11" customWidth="1"/>
    <col min="9" max="9" width="10.81640625" customWidth="1"/>
    <col min="10" max="10" width="32.453125" customWidth="1"/>
    <col min="11" max="11" width="46.1796875" customWidth="1"/>
  </cols>
  <sheetData>
    <row r="1" spans="1:11" ht="18.5" x14ac:dyDescent="0.45">
      <c r="A1" s="397" t="str">
        <f>'Total Cost Summary'!A1</f>
        <v xml:space="preserve">_________________ Dam Removal </v>
      </c>
      <c r="B1" s="397"/>
      <c r="C1" s="397"/>
    </row>
    <row r="2" spans="1:11" ht="19" thickBot="1" x14ac:dyDescent="0.5">
      <c r="A2" s="4" t="s">
        <v>23</v>
      </c>
      <c r="D2" t="s">
        <v>1</v>
      </c>
      <c r="E2" t="s">
        <v>2</v>
      </c>
    </row>
    <row r="3" spans="1:11" ht="16" thickBot="1" x14ac:dyDescent="0.4">
      <c r="A3" s="5" t="s">
        <v>24</v>
      </c>
      <c r="D3" s="14"/>
      <c r="E3" s="15" t="s">
        <v>25</v>
      </c>
      <c r="F3" s="105"/>
      <c r="G3" s="81"/>
      <c r="H3" s="47"/>
    </row>
    <row r="4" spans="1:11" ht="15" thickBot="1" x14ac:dyDescent="0.4">
      <c r="B4" s="258" t="s">
        <v>26</v>
      </c>
      <c r="C4" s="44" t="s">
        <v>27</v>
      </c>
      <c r="I4" s="23">
        <f>IF(B4="Yes",1.3,1)</f>
        <v>1</v>
      </c>
    </row>
    <row r="5" spans="1:11" ht="29.5" thickBot="1" x14ac:dyDescent="0.4">
      <c r="A5" s="6" t="s">
        <v>5</v>
      </c>
      <c r="B5" s="10" t="s">
        <v>6</v>
      </c>
      <c r="C5" s="10" t="s">
        <v>7</v>
      </c>
      <c r="D5" s="141" t="s">
        <v>28</v>
      </c>
      <c r="E5" s="8" t="s">
        <v>29</v>
      </c>
      <c r="F5" s="10" t="s">
        <v>30</v>
      </c>
      <c r="G5" s="45" t="s">
        <v>29</v>
      </c>
      <c r="H5" s="233" t="s">
        <v>31</v>
      </c>
      <c r="I5" s="10" t="s">
        <v>32</v>
      </c>
      <c r="J5" s="11" t="s">
        <v>8</v>
      </c>
      <c r="K5" s="12" t="s">
        <v>9</v>
      </c>
    </row>
    <row r="6" spans="1:11" x14ac:dyDescent="0.35">
      <c r="A6" s="25"/>
      <c r="B6" s="26"/>
      <c r="C6" s="50" t="s">
        <v>33</v>
      </c>
      <c r="D6" s="27"/>
      <c r="E6" s="28"/>
      <c r="F6" s="27"/>
      <c r="G6" s="28"/>
      <c r="H6" s="28"/>
      <c r="I6" s="28"/>
      <c r="J6" s="274"/>
      <c r="K6" s="275"/>
    </row>
    <row r="7" spans="1:11" x14ac:dyDescent="0.35">
      <c r="A7" s="29">
        <f>D7*F7+D8*F8</f>
        <v>0</v>
      </c>
      <c r="B7" s="30" t="str">
        <f>IF($A$68&gt;0,A7/$A$68,"%")</f>
        <v>%</v>
      </c>
      <c r="C7" s="51" t="s">
        <v>34</v>
      </c>
      <c r="D7" s="224"/>
      <c r="E7" s="31" t="s">
        <v>35</v>
      </c>
      <c r="F7" s="32">
        <f>IF(ISBLANK(H7),I7,H7)</f>
        <v>12000</v>
      </c>
      <c r="G7" s="33" t="s">
        <v>36</v>
      </c>
      <c r="H7" s="228"/>
      <c r="I7" s="32">
        <v>12000</v>
      </c>
      <c r="J7" s="276" t="s">
        <v>37</v>
      </c>
      <c r="K7" s="277"/>
    </row>
    <row r="8" spans="1:11" x14ac:dyDescent="0.35">
      <c r="A8" s="34"/>
      <c r="B8" s="30"/>
      <c r="C8" s="55" t="s">
        <v>38</v>
      </c>
      <c r="D8" s="224"/>
      <c r="E8" s="31" t="s">
        <v>39</v>
      </c>
      <c r="F8" s="32">
        <f t="shared" ref="F8:F16" si="0">IF(ISBLANK(H8),I8,H8)</f>
        <v>1000</v>
      </c>
      <c r="G8" s="31" t="s">
        <v>40</v>
      </c>
      <c r="H8" s="262"/>
      <c r="I8" s="32">
        <v>1000</v>
      </c>
      <c r="J8" s="276"/>
      <c r="K8" s="277"/>
    </row>
    <row r="9" spans="1:11" x14ac:dyDescent="0.35">
      <c r="A9" s="29">
        <f>D9*F9+D10*F10</f>
        <v>0</v>
      </c>
      <c r="B9" s="30" t="str">
        <f>IF($A$68&gt;0,A9/$A$68,"%")</f>
        <v>%</v>
      </c>
      <c r="C9" s="51" t="s">
        <v>41</v>
      </c>
      <c r="D9" s="224"/>
      <c r="E9" s="35" t="s">
        <v>35</v>
      </c>
      <c r="F9" s="32">
        <f t="shared" si="0"/>
        <v>50000</v>
      </c>
      <c r="G9" s="33" t="s">
        <v>36</v>
      </c>
      <c r="H9" s="228"/>
      <c r="I9" s="32">
        <v>50000</v>
      </c>
      <c r="J9" s="276"/>
      <c r="K9" s="277"/>
    </row>
    <row r="10" spans="1:11" x14ac:dyDescent="0.35">
      <c r="A10" s="29"/>
      <c r="B10" s="30"/>
      <c r="C10" s="55" t="s">
        <v>38</v>
      </c>
      <c r="D10" s="224"/>
      <c r="E10" s="31" t="s">
        <v>39</v>
      </c>
      <c r="F10" s="32">
        <f t="shared" si="0"/>
        <v>50000</v>
      </c>
      <c r="G10" s="31" t="s">
        <v>40</v>
      </c>
      <c r="H10" s="262"/>
      <c r="I10" s="32">
        <v>50000</v>
      </c>
      <c r="J10" s="278" t="s">
        <v>42</v>
      </c>
      <c r="K10" s="277"/>
    </row>
    <row r="11" spans="1:11" x14ac:dyDescent="0.35">
      <c r="A11" s="29">
        <f>D11*F11+D12*F12</f>
        <v>0</v>
      </c>
      <c r="B11" s="30" t="str">
        <f>IF($A$68&gt;0,A11/$A$68,"%")</f>
        <v>%</v>
      </c>
      <c r="C11" s="51" t="s">
        <v>43</v>
      </c>
      <c r="D11" s="224"/>
      <c r="E11" s="31" t="s">
        <v>35</v>
      </c>
      <c r="F11" s="32">
        <f t="shared" si="0"/>
        <v>700000</v>
      </c>
      <c r="G11" s="33" t="s">
        <v>36</v>
      </c>
      <c r="H11" s="228"/>
      <c r="I11" s="32">
        <v>700000</v>
      </c>
      <c r="J11" s="278" t="s">
        <v>44</v>
      </c>
      <c r="K11" s="277"/>
    </row>
    <row r="12" spans="1:11" x14ac:dyDescent="0.35">
      <c r="A12" s="29"/>
      <c r="B12" s="30"/>
      <c r="C12" s="55" t="s">
        <v>38</v>
      </c>
      <c r="D12" s="224"/>
      <c r="E12" s="31" t="s">
        <v>39</v>
      </c>
      <c r="F12" s="32">
        <f t="shared" si="0"/>
        <v>1200000</v>
      </c>
      <c r="G12" s="31" t="s">
        <v>40</v>
      </c>
      <c r="H12" s="262"/>
      <c r="I12" s="32">
        <v>1200000</v>
      </c>
      <c r="J12" s="278" t="s">
        <v>45</v>
      </c>
      <c r="K12" s="277" t="s">
        <v>46</v>
      </c>
    </row>
    <row r="13" spans="1:11" x14ac:dyDescent="0.35">
      <c r="A13" s="29">
        <f>D13*D14*F13</f>
        <v>0</v>
      </c>
      <c r="B13" s="30" t="str">
        <f>IF($A$68&gt;0,A13/$A$68,"%")</f>
        <v>%</v>
      </c>
      <c r="C13" s="52" t="s">
        <v>47</v>
      </c>
      <c r="D13" s="224"/>
      <c r="E13" s="31" t="s">
        <v>48</v>
      </c>
      <c r="F13" s="32">
        <f t="shared" si="0"/>
        <v>100</v>
      </c>
      <c r="G13" s="33" t="s">
        <v>49</v>
      </c>
      <c r="H13" s="228"/>
      <c r="I13" s="32">
        <v>100</v>
      </c>
      <c r="J13" s="278" t="s">
        <v>50</v>
      </c>
      <c r="K13" s="277"/>
    </row>
    <row r="14" spans="1:11" x14ac:dyDescent="0.35">
      <c r="A14" s="29"/>
      <c r="B14" s="30"/>
      <c r="C14" s="75" t="s">
        <v>51</v>
      </c>
      <c r="D14" s="224"/>
      <c r="E14" s="31" t="s">
        <v>35</v>
      </c>
      <c r="F14" s="32"/>
      <c r="G14" s="32"/>
      <c r="H14" s="32"/>
      <c r="I14" s="32"/>
      <c r="J14" s="278"/>
      <c r="K14" s="277"/>
    </row>
    <row r="15" spans="1:11" x14ac:dyDescent="0.35">
      <c r="A15" s="29">
        <f>D15*F15</f>
        <v>0</v>
      </c>
      <c r="B15" s="30" t="str">
        <f>IF($A$68&gt;0,A15/$A$68,"%")</f>
        <v>%</v>
      </c>
      <c r="C15" s="52" t="s">
        <v>52</v>
      </c>
      <c r="D15" s="259"/>
      <c r="E15" s="31" t="s">
        <v>53</v>
      </c>
      <c r="F15" s="32">
        <f t="shared" si="0"/>
        <v>4950</v>
      </c>
      <c r="G15" s="84" t="s">
        <v>54</v>
      </c>
      <c r="H15" s="228"/>
      <c r="I15" s="32">
        <f>4125*1.2</f>
        <v>4950</v>
      </c>
      <c r="J15" s="279" t="s">
        <v>55</v>
      </c>
      <c r="K15" s="277"/>
    </row>
    <row r="16" spans="1:11" x14ac:dyDescent="0.35">
      <c r="A16" s="124">
        <f>D16*F16</f>
        <v>0</v>
      </c>
      <c r="B16" s="65" t="str">
        <f>IF($A$68&gt;0,A16/$A$68,"%")</f>
        <v>%</v>
      </c>
      <c r="C16" s="240" t="s">
        <v>56</v>
      </c>
      <c r="D16" s="260"/>
      <c r="E16" s="64" t="s">
        <v>57</v>
      </c>
      <c r="F16" s="61">
        <f t="shared" si="0"/>
        <v>100000</v>
      </c>
      <c r="G16" s="241" t="s">
        <v>58</v>
      </c>
      <c r="H16" s="263"/>
      <c r="I16" s="61">
        <v>100000</v>
      </c>
      <c r="J16" s="280" t="s">
        <v>59</v>
      </c>
      <c r="K16" s="281"/>
    </row>
    <row r="17" spans="1:11" ht="15" thickBot="1" x14ac:dyDescent="0.4">
      <c r="A17" s="109"/>
      <c r="B17" s="116"/>
      <c r="C17" s="144"/>
      <c r="D17" s="118"/>
      <c r="E17" s="139"/>
      <c r="F17" s="119"/>
      <c r="G17" s="119"/>
      <c r="H17" s="119"/>
      <c r="I17" s="119"/>
      <c r="J17" s="282"/>
      <c r="K17" s="283"/>
    </row>
    <row r="18" spans="1:11" ht="29" x14ac:dyDescent="0.35">
      <c r="A18" s="242">
        <f>D18*F18+D19*F19</f>
        <v>0</v>
      </c>
      <c r="B18" s="243" t="str">
        <f>IF($A$68&gt;0,A18/$A$68,"%")</f>
        <v>%</v>
      </c>
      <c r="C18" s="244" t="s">
        <v>60</v>
      </c>
      <c r="D18" s="261"/>
      <c r="E18" s="245" t="s">
        <v>39</v>
      </c>
      <c r="F18" s="246">
        <f t="shared" ref="F18" si="1">IF(ISBLANK(H18),I18,H18)</f>
        <v>2400000</v>
      </c>
      <c r="G18" s="245" t="s">
        <v>40</v>
      </c>
      <c r="H18" s="264"/>
      <c r="I18" s="246">
        <v>2400000</v>
      </c>
      <c r="J18" s="284" t="s">
        <v>61</v>
      </c>
      <c r="K18" s="285"/>
    </row>
    <row r="19" spans="1:11" ht="15" thickBot="1" x14ac:dyDescent="0.4">
      <c r="A19" s="109"/>
      <c r="B19" s="116"/>
      <c r="C19" s="247"/>
      <c r="D19" s="118"/>
      <c r="E19" s="139"/>
      <c r="F19" s="119"/>
      <c r="G19" s="119"/>
      <c r="H19" s="119"/>
      <c r="I19" s="119"/>
      <c r="J19" s="282"/>
      <c r="K19" s="283"/>
    </row>
    <row r="20" spans="1:11" x14ac:dyDescent="0.35">
      <c r="A20" s="25"/>
      <c r="B20" s="146"/>
      <c r="C20" s="50" t="s">
        <v>62</v>
      </c>
      <c r="D20" s="59"/>
      <c r="E20" s="26"/>
      <c r="F20" s="26"/>
      <c r="G20" s="26"/>
      <c r="H20" s="26"/>
      <c r="I20" s="147"/>
      <c r="J20" s="274"/>
      <c r="K20" s="275"/>
    </row>
    <row r="21" spans="1:11" s="47" customFormat="1" ht="16.5" x14ac:dyDescent="0.35">
      <c r="A21" s="56"/>
      <c r="B21" s="82"/>
      <c r="C21" s="52" t="s">
        <v>63</v>
      </c>
      <c r="D21" s="224"/>
      <c r="E21" s="36" t="s">
        <v>64</v>
      </c>
      <c r="F21" s="32"/>
      <c r="G21" s="36"/>
      <c r="H21" s="36"/>
      <c r="I21" s="32"/>
      <c r="J21" s="278"/>
      <c r="K21" s="286"/>
    </row>
    <row r="22" spans="1:11" ht="29" x14ac:dyDescent="0.35">
      <c r="A22" s="29">
        <f>$D$21*F22*I4</f>
        <v>0</v>
      </c>
      <c r="B22" s="30" t="str">
        <f>IF($A$68&gt;0,A22/$A$68,"%")</f>
        <v>%</v>
      </c>
      <c r="C22" s="55" t="s">
        <v>65</v>
      </c>
      <c r="D22" s="38"/>
      <c r="E22" s="31"/>
      <c r="F22" s="32">
        <f>IF(ISBLANK(H22),I22,H22)*$I$4</f>
        <v>620</v>
      </c>
      <c r="G22" s="31" t="s">
        <v>66</v>
      </c>
      <c r="H22" s="262"/>
      <c r="I22" s="32">
        <v>620</v>
      </c>
      <c r="J22" s="279" t="s">
        <v>67</v>
      </c>
      <c r="K22" s="277" t="s">
        <v>68</v>
      </c>
    </row>
    <row r="23" spans="1:11" ht="16.5" x14ac:dyDescent="0.35">
      <c r="A23" s="29">
        <f t="shared" ref="A23" si="2">$D$21*F23</f>
        <v>0</v>
      </c>
      <c r="B23" s="30" t="str">
        <f>IF($A$68&gt;0,A23/$A$68,"%")</f>
        <v>%</v>
      </c>
      <c r="C23" s="55" t="s">
        <v>69</v>
      </c>
      <c r="D23" s="38"/>
      <c r="E23" s="31"/>
      <c r="F23" s="32">
        <f>IF(ISBLANK(H23),I23,H23)*$I$4</f>
        <v>420</v>
      </c>
      <c r="G23" s="31" t="s">
        <v>66</v>
      </c>
      <c r="H23" s="262"/>
      <c r="I23" s="32">
        <v>420</v>
      </c>
      <c r="J23" s="279"/>
      <c r="K23" s="277" t="s">
        <v>70</v>
      </c>
    </row>
    <row r="24" spans="1:11" s="47" customFormat="1" ht="16.5" x14ac:dyDescent="0.35">
      <c r="A24" s="56"/>
      <c r="B24" s="82"/>
      <c r="C24" s="52" t="s">
        <v>71</v>
      </c>
      <c r="D24" s="224"/>
      <c r="E24" s="36" t="s">
        <v>64</v>
      </c>
      <c r="F24" s="32"/>
      <c r="G24" s="36"/>
      <c r="H24" s="36"/>
      <c r="I24" s="32"/>
      <c r="J24" s="287"/>
      <c r="K24" s="286"/>
    </row>
    <row r="25" spans="1:11" ht="16.5" x14ac:dyDescent="0.35">
      <c r="A25" s="29">
        <f>$D$24*F25*I4</f>
        <v>0</v>
      </c>
      <c r="B25" s="30" t="str">
        <f>IF($A$68&gt;0,A25/$A$68,"%")</f>
        <v>%</v>
      </c>
      <c r="C25" s="55" t="s">
        <v>65</v>
      </c>
      <c r="D25" s="38"/>
      <c r="E25" s="31"/>
      <c r="F25" s="32">
        <f t="shared" ref="F25:F26" si="3">IF(ISBLANK(H25),I25,H25)*$I$4</f>
        <v>570</v>
      </c>
      <c r="G25" s="31" t="s">
        <v>66</v>
      </c>
      <c r="H25" s="262"/>
      <c r="I25" s="32">
        <v>570</v>
      </c>
      <c r="J25" s="279"/>
      <c r="K25" s="277" t="s">
        <v>72</v>
      </c>
    </row>
    <row r="26" spans="1:11" ht="16.5" x14ac:dyDescent="0.35">
      <c r="A26" s="29">
        <f t="shared" ref="A26" si="4">$D$24*F26</f>
        <v>0</v>
      </c>
      <c r="B26" s="30" t="str">
        <f>IF($A$68&gt;0,A26/$A$68,"%")</f>
        <v>%</v>
      </c>
      <c r="C26" s="55" t="s">
        <v>69</v>
      </c>
      <c r="D26" s="38"/>
      <c r="E26" s="31"/>
      <c r="F26" s="32">
        <f t="shared" si="3"/>
        <v>100</v>
      </c>
      <c r="G26" s="31" t="s">
        <v>66</v>
      </c>
      <c r="H26" s="262"/>
      <c r="I26" s="32">
        <v>100</v>
      </c>
      <c r="J26" s="279"/>
      <c r="K26" s="277"/>
    </row>
    <row r="27" spans="1:11" ht="16.5" x14ac:dyDescent="0.35">
      <c r="A27" s="29"/>
      <c r="B27" s="30"/>
      <c r="C27" s="51" t="s">
        <v>73</v>
      </c>
      <c r="D27" s="224"/>
      <c r="E27" s="31" t="s">
        <v>64</v>
      </c>
      <c r="F27" s="33"/>
      <c r="G27" s="31"/>
      <c r="H27" s="31"/>
      <c r="I27" s="32"/>
      <c r="J27" s="279"/>
      <c r="K27" s="277"/>
    </row>
    <row r="28" spans="1:11" ht="16.5" x14ac:dyDescent="0.35">
      <c r="A28" s="29">
        <f>$D$27*F28*I4</f>
        <v>0</v>
      </c>
      <c r="B28" s="30" t="str">
        <f>IF($A$68&gt;0,A28/$A$68,"%")</f>
        <v>%</v>
      </c>
      <c r="C28" s="55" t="s">
        <v>65</v>
      </c>
      <c r="D28" s="38"/>
      <c r="E28" s="31"/>
      <c r="F28" s="32">
        <f t="shared" ref="F28:F34" si="5">IF(ISBLANK(H28),I28,H28)*$I$4</f>
        <v>520</v>
      </c>
      <c r="G28" s="31" t="s">
        <v>66</v>
      </c>
      <c r="H28" s="262"/>
      <c r="I28" s="32">
        <v>520</v>
      </c>
      <c r="J28" s="279"/>
      <c r="K28" s="277" t="s">
        <v>74</v>
      </c>
    </row>
    <row r="29" spans="1:11" ht="16.5" x14ac:dyDescent="0.35">
      <c r="A29" s="29">
        <f t="shared" ref="A29" si="6">$D$27*F29</f>
        <v>0</v>
      </c>
      <c r="B29" s="30" t="str">
        <f>IF($A$68&gt;0,A29/$A$68,"%")</f>
        <v>%</v>
      </c>
      <c r="C29" s="55" t="s">
        <v>69</v>
      </c>
      <c r="D29" s="38"/>
      <c r="E29" s="31"/>
      <c r="F29" s="32">
        <f t="shared" si="5"/>
        <v>100</v>
      </c>
      <c r="G29" s="31" t="s">
        <v>66</v>
      </c>
      <c r="H29" s="262"/>
      <c r="I29" s="32">
        <v>100</v>
      </c>
      <c r="J29" s="279"/>
      <c r="K29" s="277"/>
    </row>
    <row r="30" spans="1:11" x14ac:dyDescent="0.35">
      <c r="A30" s="29"/>
      <c r="B30" s="30"/>
      <c r="C30" s="55"/>
      <c r="D30" s="38"/>
      <c r="E30" s="31"/>
      <c r="F30" s="32"/>
      <c r="G30" s="31"/>
      <c r="H30" s="36"/>
      <c r="I30" s="32"/>
      <c r="J30" s="279"/>
      <c r="K30" s="277"/>
    </row>
    <row r="31" spans="1:11" ht="29" x14ac:dyDescent="0.35">
      <c r="A31" s="29">
        <f>D31*F31</f>
        <v>0</v>
      </c>
      <c r="B31" s="30" t="str">
        <f>IF($A$68&gt;0,A31/$A$68,"%")</f>
        <v>%</v>
      </c>
      <c r="C31" s="51" t="s">
        <v>75</v>
      </c>
      <c r="D31" s="224"/>
      <c r="E31" s="31" t="s">
        <v>64</v>
      </c>
      <c r="F31" s="32">
        <f t="shared" si="5"/>
        <v>6</v>
      </c>
      <c r="G31" s="31" t="s">
        <v>66</v>
      </c>
      <c r="H31" s="228"/>
      <c r="I31" s="32">
        <v>6</v>
      </c>
      <c r="J31" s="279" t="s">
        <v>76</v>
      </c>
      <c r="K31" s="277"/>
    </row>
    <row r="32" spans="1:11" ht="16.5" x14ac:dyDescent="0.35">
      <c r="A32" s="29">
        <f>D32*F32*I4</f>
        <v>0</v>
      </c>
      <c r="B32" s="30" t="str">
        <f>IF($A$68&gt;0,A32/$A$68,"%")</f>
        <v>%</v>
      </c>
      <c r="C32" s="51" t="s">
        <v>77</v>
      </c>
      <c r="D32" s="224"/>
      <c r="E32" s="31" t="s">
        <v>64</v>
      </c>
      <c r="F32" s="32">
        <f t="shared" si="5"/>
        <v>150</v>
      </c>
      <c r="G32" s="31" t="s">
        <v>66</v>
      </c>
      <c r="H32" s="262"/>
      <c r="I32" s="32">
        <v>150</v>
      </c>
      <c r="J32" s="279" t="s">
        <v>78</v>
      </c>
      <c r="K32" s="277"/>
    </row>
    <row r="33" spans="1:11" ht="16.5" x14ac:dyDescent="0.35">
      <c r="A33" s="29">
        <f>D33*F33*I4</f>
        <v>0</v>
      </c>
      <c r="B33" s="30" t="str">
        <f>IF($A$68&gt;0,A33/$A$68,"%")</f>
        <v>%</v>
      </c>
      <c r="C33" s="52" t="s">
        <v>79</v>
      </c>
      <c r="D33" s="224"/>
      <c r="E33" s="31" t="s">
        <v>64</v>
      </c>
      <c r="F33" s="32">
        <f t="shared" si="5"/>
        <v>360</v>
      </c>
      <c r="G33" s="31" t="s">
        <v>66</v>
      </c>
      <c r="H33" s="265"/>
      <c r="I33" s="32">
        <v>360</v>
      </c>
      <c r="J33" s="279"/>
      <c r="K33" s="277" t="s">
        <v>80</v>
      </c>
    </row>
    <row r="34" spans="1:11" ht="29" x14ac:dyDescent="0.35">
      <c r="A34" s="29">
        <f>D34*F34*I4</f>
        <v>0</v>
      </c>
      <c r="B34" s="30" t="str">
        <f>IF($A$68&gt;0,A34/$A$68,"%")</f>
        <v>%</v>
      </c>
      <c r="C34" s="51" t="s">
        <v>81</v>
      </c>
      <c r="D34" s="224"/>
      <c r="E34" s="40" t="s">
        <v>48</v>
      </c>
      <c r="F34" s="32">
        <f t="shared" si="5"/>
        <v>310</v>
      </c>
      <c r="G34" s="40" t="s">
        <v>82</v>
      </c>
      <c r="H34" s="265"/>
      <c r="I34" s="32">
        <v>310</v>
      </c>
      <c r="J34" s="279"/>
      <c r="K34" s="277" t="s">
        <v>83</v>
      </c>
    </row>
    <row r="35" spans="1:11" x14ac:dyDescent="0.35">
      <c r="A35" s="29"/>
      <c r="B35" s="30"/>
      <c r="C35" s="51"/>
      <c r="D35" s="41"/>
      <c r="E35" s="42"/>
      <c r="F35" s="32"/>
      <c r="G35" s="42"/>
      <c r="H35" s="42"/>
      <c r="I35" s="32"/>
      <c r="J35" s="287"/>
      <c r="K35" s="277"/>
    </row>
    <row r="36" spans="1:11" ht="16.5" x14ac:dyDescent="0.35">
      <c r="A36" s="124">
        <f>D36*F36*I4</f>
        <v>0</v>
      </c>
      <c r="B36" s="65" t="str">
        <f>IF($A$68&gt;0,A36/$A$68,"%")</f>
        <v>%</v>
      </c>
      <c r="C36" s="126" t="s">
        <v>84</v>
      </c>
      <c r="D36" s="260"/>
      <c r="E36" s="64" t="s">
        <v>64</v>
      </c>
      <c r="F36" s="61">
        <f t="shared" ref="F36" si="7">IF(ISBLANK(H36),I36,H36)</f>
        <v>204</v>
      </c>
      <c r="G36" s="64" t="s">
        <v>66</v>
      </c>
      <c r="H36" s="266"/>
      <c r="I36" s="61">
        <v>204</v>
      </c>
      <c r="J36" s="288" t="s">
        <v>85</v>
      </c>
      <c r="K36" s="281"/>
    </row>
    <row r="37" spans="1:11" ht="15" thickBot="1" x14ac:dyDescent="0.4">
      <c r="A37" s="109"/>
      <c r="B37" s="116"/>
      <c r="C37" s="117"/>
      <c r="D37" s="118"/>
      <c r="E37" s="248"/>
      <c r="F37" s="119"/>
      <c r="G37" s="248"/>
      <c r="H37" s="248"/>
      <c r="I37" s="119"/>
      <c r="J37" s="289"/>
      <c r="K37" s="283"/>
    </row>
    <row r="38" spans="1:11" ht="29" x14ac:dyDescent="0.35">
      <c r="A38" s="57"/>
      <c r="B38" s="146"/>
      <c r="C38" s="50" t="s">
        <v>86</v>
      </c>
      <c r="D38" s="59"/>
      <c r="E38" s="26"/>
      <c r="F38" s="60"/>
      <c r="G38" s="26"/>
      <c r="H38" s="26"/>
      <c r="I38" s="106"/>
      <c r="J38" s="290"/>
      <c r="K38" s="275"/>
    </row>
    <row r="39" spans="1:11" x14ac:dyDescent="0.35">
      <c r="A39" s="114"/>
      <c r="B39" s="327" t="s">
        <v>26</v>
      </c>
      <c r="C39" s="238" t="s">
        <v>87</v>
      </c>
      <c r="D39" s="115"/>
      <c r="E39" s="143"/>
      <c r="F39" s="63"/>
      <c r="G39" s="145"/>
      <c r="H39" s="143"/>
      <c r="I39" s="239">
        <f>IF(B39="Yes",1.3,1)</f>
        <v>1</v>
      </c>
      <c r="J39" s="291" t="s">
        <v>88</v>
      </c>
      <c r="K39" s="292"/>
    </row>
    <row r="40" spans="1:11" ht="16.5" x14ac:dyDescent="0.35">
      <c r="A40" s="29">
        <f>$D$40*F40*I39</f>
        <v>0</v>
      </c>
      <c r="B40" s="30" t="str">
        <f>IF($A$68&gt;0,A40/$A$68,"%")</f>
        <v>%</v>
      </c>
      <c r="C40" s="51" t="s">
        <v>89</v>
      </c>
      <c r="D40" s="224"/>
      <c r="E40" s="31" t="s">
        <v>64</v>
      </c>
      <c r="F40" s="32">
        <f>IF(ISBLANK(H40),I40,H40)*$I$39</f>
        <v>15.6</v>
      </c>
      <c r="G40" s="31" t="s">
        <v>66</v>
      </c>
      <c r="H40" s="262"/>
      <c r="I40" s="32">
        <v>15.6</v>
      </c>
      <c r="J40" s="279" t="s">
        <v>90</v>
      </c>
      <c r="K40" s="277" t="s">
        <v>91</v>
      </c>
    </row>
    <row r="41" spans="1:11" ht="16.5" x14ac:dyDescent="0.35">
      <c r="A41" s="29">
        <f>$D$41*F41</f>
        <v>0</v>
      </c>
      <c r="B41" s="30" t="str">
        <f>IF($A$68&gt;0,A41/$A$68,"%")</f>
        <v>%</v>
      </c>
      <c r="C41" s="51" t="s">
        <v>92</v>
      </c>
      <c r="D41" s="224"/>
      <c r="E41" s="31" t="s">
        <v>64</v>
      </c>
      <c r="F41" s="32">
        <f>IF(ISBLANK(H41),I41,H41)*$I$39</f>
        <v>11</v>
      </c>
      <c r="G41" s="31" t="s">
        <v>66</v>
      </c>
      <c r="H41" s="265"/>
      <c r="I41" s="32">
        <v>11</v>
      </c>
      <c r="J41" s="279" t="s">
        <v>90</v>
      </c>
      <c r="K41" s="277" t="s">
        <v>93</v>
      </c>
    </row>
    <row r="42" spans="1:11" ht="16.5" x14ac:dyDescent="0.35">
      <c r="A42" s="29">
        <f>$D$42*F42*I39</f>
        <v>0</v>
      </c>
      <c r="B42" s="30" t="str">
        <f>IF($A$68&gt;0,A42/$A$68,"%")</f>
        <v>%</v>
      </c>
      <c r="C42" s="51" t="s">
        <v>94</v>
      </c>
      <c r="D42" s="224"/>
      <c r="E42" s="31" t="s">
        <v>64</v>
      </c>
      <c r="F42" s="32">
        <f>IF(ISBLANK(H42),I42,H42)*$I$39</f>
        <v>12</v>
      </c>
      <c r="G42" s="31" t="s">
        <v>66</v>
      </c>
      <c r="H42" s="262"/>
      <c r="I42" s="32">
        <v>12</v>
      </c>
      <c r="J42" s="279" t="s">
        <v>90</v>
      </c>
      <c r="K42" s="277" t="s">
        <v>95</v>
      </c>
    </row>
    <row r="43" spans="1:11" ht="29" x14ac:dyDescent="0.35">
      <c r="A43" s="29">
        <f>$D$43*F43</f>
        <v>0</v>
      </c>
      <c r="B43" s="30" t="str">
        <f>IF($A$68&gt;0,A43/$A$68,"%")</f>
        <v>%</v>
      </c>
      <c r="C43" s="51" t="s">
        <v>96</v>
      </c>
      <c r="D43" s="224"/>
      <c r="E43" s="40" t="s">
        <v>48</v>
      </c>
      <c r="F43" s="32">
        <f t="shared" ref="F43" si="8">IF(ISBLANK(H43),I43,H43)</f>
        <v>420</v>
      </c>
      <c r="G43" s="40" t="s">
        <v>82</v>
      </c>
      <c r="H43" s="265"/>
      <c r="I43" s="32">
        <v>420</v>
      </c>
      <c r="J43" s="279" t="s">
        <v>90</v>
      </c>
      <c r="K43" s="277" t="s">
        <v>97</v>
      </c>
    </row>
    <row r="44" spans="1:11" x14ac:dyDescent="0.35">
      <c r="A44" s="124">
        <f>D44*F44</f>
        <v>0</v>
      </c>
      <c r="B44" s="65" t="str">
        <f>IF($A$68&gt;0,A44/$A$68,"%")</f>
        <v>%</v>
      </c>
      <c r="C44" s="126" t="s">
        <v>98</v>
      </c>
      <c r="D44" s="260"/>
      <c r="E44" s="64" t="s">
        <v>99</v>
      </c>
      <c r="F44" s="61">
        <f>IF(ISBLANK(H44),I44,H44)</f>
        <v>400000</v>
      </c>
      <c r="G44" s="71" t="s">
        <v>100</v>
      </c>
      <c r="H44" s="263"/>
      <c r="I44" s="61">
        <v>400000</v>
      </c>
      <c r="J44" s="293"/>
      <c r="K44" s="281"/>
    </row>
    <row r="45" spans="1:11" ht="15" thickBot="1" x14ac:dyDescent="0.4">
      <c r="A45" s="109"/>
      <c r="B45" s="116"/>
      <c r="C45" s="117"/>
      <c r="D45" s="118"/>
      <c r="E45" s="248"/>
      <c r="F45" s="119"/>
      <c r="G45" s="248"/>
      <c r="H45" s="248"/>
      <c r="I45" s="119"/>
      <c r="J45" s="289"/>
      <c r="K45" s="283"/>
    </row>
    <row r="46" spans="1:11" x14ac:dyDescent="0.35">
      <c r="A46" s="57">
        <f>$D$47*F47*(SUM(D21,D24,D27,D31:D33,D40:D42)+D43*2000/13231)</f>
        <v>0</v>
      </c>
      <c r="B46" s="146" t="str">
        <f>IF($A$68&gt;0,A46/$A$68,"%")</f>
        <v>%</v>
      </c>
      <c r="C46" s="50" t="s">
        <v>101</v>
      </c>
      <c r="D46" s="59"/>
      <c r="E46" s="26"/>
      <c r="F46" s="26"/>
      <c r="G46" s="26"/>
      <c r="H46" s="26"/>
      <c r="I46" s="147"/>
      <c r="J46" s="290"/>
      <c r="K46" s="275"/>
    </row>
    <row r="47" spans="1:11" ht="16.5" x14ac:dyDescent="0.35">
      <c r="A47" s="249"/>
      <c r="B47" s="250"/>
      <c r="C47" s="66" t="s">
        <v>51</v>
      </c>
      <c r="D47" s="260"/>
      <c r="E47" s="64" t="s">
        <v>35</v>
      </c>
      <c r="F47" s="61">
        <f>IF(ISBLANK(H47),I47,H47)</f>
        <v>13</v>
      </c>
      <c r="G47" s="64" t="s">
        <v>102</v>
      </c>
      <c r="H47" s="267"/>
      <c r="I47" s="251">
        <v>13</v>
      </c>
      <c r="J47" s="293"/>
      <c r="K47" s="281" t="s">
        <v>103</v>
      </c>
    </row>
    <row r="48" spans="1:11" ht="15" thickBot="1" x14ac:dyDescent="0.4">
      <c r="A48" s="109"/>
      <c r="B48" s="116"/>
      <c r="C48" s="117"/>
      <c r="D48" s="118"/>
      <c r="E48" s="139"/>
      <c r="F48" s="119"/>
      <c r="G48" s="139"/>
      <c r="H48" s="139"/>
      <c r="I48" s="153"/>
      <c r="J48" s="289"/>
      <c r="K48" s="283"/>
    </row>
    <row r="49" spans="1:11" x14ac:dyDescent="0.35">
      <c r="A49" s="57"/>
      <c r="B49" s="146"/>
      <c r="C49" s="50" t="s">
        <v>104</v>
      </c>
      <c r="D49" s="59"/>
      <c r="E49" s="26"/>
      <c r="F49" s="154"/>
      <c r="G49" s="26"/>
      <c r="H49" s="26"/>
      <c r="I49" s="155"/>
      <c r="J49" s="290"/>
      <c r="K49" s="275"/>
    </row>
    <row r="50" spans="1:11" ht="29" x14ac:dyDescent="0.35">
      <c r="A50" s="29">
        <f>D50*F50</f>
        <v>0</v>
      </c>
      <c r="B50" s="30" t="str">
        <f t="shared" ref="B50:B64" si="9">IF($A$68&gt;0,A50/$A$68,"%")</f>
        <v>%</v>
      </c>
      <c r="C50" s="51" t="s">
        <v>105</v>
      </c>
      <c r="D50" s="224"/>
      <c r="E50" s="31" t="s">
        <v>106</v>
      </c>
      <c r="F50" s="32">
        <f t="shared" ref="F50:F64" si="10">IF(ISBLANK(H50),I50,H50)</f>
        <v>1300000</v>
      </c>
      <c r="G50" s="40" t="s">
        <v>107</v>
      </c>
      <c r="H50" s="268"/>
      <c r="I50" s="32">
        <v>1300000</v>
      </c>
      <c r="J50" s="279"/>
      <c r="K50" s="277"/>
    </row>
    <row r="51" spans="1:11" x14ac:dyDescent="0.35">
      <c r="A51" s="29">
        <f>D51*F51</f>
        <v>0</v>
      </c>
      <c r="B51" s="30" t="str">
        <f t="shared" si="9"/>
        <v>%</v>
      </c>
      <c r="C51" s="51" t="s">
        <v>108</v>
      </c>
      <c r="D51" s="224"/>
      <c r="E51" s="31" t="s">
        <v>109</v>
      </c>
      <c r="F51" s="32">
        <f t="shared" si="10"/>
        <v>500</v>
      </c>
      <c r="G51" s="40" t="s">
        <v>110</v>
      </c>
      <c r="H51" s="265"/>
      <c r="I51" s="32">
        <v>500</v>
      </c>
      <c r="J51" s="279"/>
      <c r="K51" s="277"/>
    </row>
    <row r="52" spans="1:11" x14ac:dyDescent="0.35">
      <c r="A52" s="29">
        <f>D52*F52</f>
        <v>0</v>
      </c>
      <c r="B52" s="30" t="str">
        <f t="shared" ref="B52" si="11">IF($A$68&gt;0,A52/$A$68,"%")</f>
        <v>%</v>
      </c>
      <c r="C52" s="51" t="s">
        <v>111</v>
      </c>
      <c r="D52" s="224"/>
      <c r="E52" s="31" t="s">
        <v>112</v>
      </c>
      <c r="F52" s="32">
        <f t="shared" si="10"/>
        <v>100</v>
      </c>
      <c r="G52" s="40" t="s">
        <v>113</v>
      </c>
      <c r="H52" s="265"/>
      <c r="I52" s="32">
        <v>100</v>
      </c>
      <c r="J52" s="279" t="s">
        <v>114</v>
      </c>
      <c r="K52" s="277"/>
    </row>
    <row r="53" spans="1:11" ht="16.5" x14ac:dyDescent="0.35">
      <c r="A53" s="29">
        <f t="shared" ref="A53:A64" si="12">D53*F53</f>
        <v>0</v>
      </c>
      <c r="B53" s="30" t="str">
        <f t="shared" si="9"/>
        <v>%</v>
      </c>
      <c r="C53" s="51" t="s">
        <v>115</v>
      </c>
      <c r="D53" s="224"/>
      <c r="E53" s="31" t="s">
        <v>64</v>
      </c>
      <c r="F53" s="32">
        <f t="shared" si="10"/>
        <v>3</v>
      </c>
      <c r="G53" s="31" t="s">
        <v>66</v>
      </c>
      <c r="H53" s="265"/>
      <c r="I53" s="32">
        <v>3</v>
      </c>
      <c r="J53" s="279"/>
      <c r="K53" s="277"/>
    </row>
    <row r="54" spans="1:11" ht="16.5" x14ac:dyDescent="0.35">
      <c r="A54" s="29">
        <f t="shared" ref="A54" si="13">D54*F54</f>
        <v>0</v>
      </c>
      <c r="B54" s="30" t="str">
        <f t="shared" ref="B54" si="14">IF($A$68&gt;0,A54/$A$68,"%")</f>
        <v>%</v>
      </c>
      <c r="C54" s="51" t="s">
        <v>116</v>
      </c>
      <c r="D54" s="224"/>
      <c r="E54" s="31" t="s">
        <v>117</v>
      </c>
      <c r="F54" s="32">
        <f t="shared" ref="F54" si="15">IF(ISBLANK(H54),I54,H54)</f>
        <v>115</v>
      </c>
      <c r="G54" s="31" t="s">
        <v>118</v>
      </c>
      <c r="H54" s="265"/>
      <c r="I54" s="32">
        <v>115</v>
      </c>
      <c r="J54" s="294" t="s">
        <v>119</v>
      </c>
      <c r="K54" s="277"/>
    </row>
    <row r="55" spans="1:11" ht="29" x14ac:dyDescent="0.35">
      <c r="A55" s="29">
        <f t="shared" si="12"/>
        <v>0</v>
      </c>
      <c r="B55" s="30" t="str">
        <f t="shared" si="9"/>
        <v>%</v>
      </c>
      <c r="C55" s="51" t="s">
        <v>120</v>
      </c>
      <c r="D55" s="224"/>
      <c r="E55" s="31" t="s">
        <v>109</v>
      </c>
      <c r="F55" s="32">
        <f t="shared" si="10"/>
        <v>5000</v>
      </c>
      <c r="G55" s="40" t="s">
        <v>110</v>
      </c>
      <c r="H55" s="265"/>
      <c r="I55" s="32">
        <v>5000</v>
      </c>
      <c r="J55" s="279"/>
      <c r="K55" s="277"/>
    </row>
    <row r="56" spans="1:11" ht="29" x14ac:dyDescent="0.35">
      <c r="A56" s="29">
        <f t="shared" ref="A56" si="16">D56*F56</f>
        <v>0</v>
      </c>
      <c r="B56" s="30" t="str">
        <f t="shared" ref="B56" si="17">IF($A$68&gt;0,A56/$A$68,"%")</f>
        <v>%</v>
      </c>
      <c r="C56" s="51" t="s">
        <v>121</v>
      </c>
      <c r="D56" s="224"/>
      <c r="E56" s="31" t="s">
        <v>64</v>
      </c>
      <c r="F56" s="32">
        <f t="shared" si="10"/>
        <v>100</v>
      </c>
      <c r="G56" s="31" t="s">
        <v>66</v>
      </c>
      <c r="H56" s="262"/>
      <c r="I56" s="32">
        <v>100</v>
      </c>
      <c r="J56" s="279"/>
      <c r="K56" s="277"/>
    </row>
    <row r="57" spans="1:11" x14ac:dyDescent="0.35">
      <c r="A57" s="29">
        <f t="shared" si="12"/>
        <v>0</v>
      </c>
      <c r="B57" s="30" t="str">
        <f t="shared" si="9"/>
        <v>%</v>
      </c>
      <c r="C57" s="51" t="s">
        <v>122</v>
      </c>
      <c r="D57" s="224"/>
      <c r="E57" s="40" t="s">
        <v>48</v>
      </c>
      <c r="F57" s="32">
        <f t="shared" si="10"/>
        <v>100</v>
      </c>
      <c r="G57" s="40" t="s">
        <v>82</v>
      </c>
      <c r="H57" s="265"/>
      <c r="I57" s="32">
        <v>100</v>
      </c>
      <c r="J57" s="279"/>
      <c r="K57" s="277"/>
    </row>
    <row r="58" spans="1:11" x14ac:dyDescent="0.35">
      <c r="A58" s="124">
        <f t="shared" ref="A58" si="18">D58*F58</f>
        <v>0</v>
      </c>
      <c r="B58" s="65" t="str">
        <f t="shared" ref="B58" si="19">IF($A$68&gt;0,A58/$A$68,"%")</f>
        <v>%</v>
      </c>
      <c r="C58" s="126" t="s">
        <v>123</v>
      </c>
      <c r="D58" s="260"/>
      <c r="E58" s="71" t="s">
        <v>124</v>
      </c>
      <c r="F58" s="61">
        <f t="shared" ref="F58" si="20">IF(ISBLANK(H58),I58,H58)</f>
        <v>20000</v>
      </c>
      <c r="G58" s="71" t="s">
        <v>100</v>
      </c>
      <c r="H58" s="266"/>
      <c r="I58" s="61">
        <v>20000</v>
      </c>
      <c r="J58" s="293"/>
      <c r="K58" s="281"/>
    </row>
    <row r="59" spans="1:11" ht="15" thickBot="1" x14ac:dyDescent="0.4">
      <c r="A59" s="109"/>
      <c r="B59" s="116"/>
      <c r="C59" s="117"/>
      <c r="D59" s="118"/>
      <c r="E59" s="248"/>
      <c r="F59" s="119"/>
      <c r="G59" s="248"/>
      <c r="H59" s="248"/>
      <c r="I59" s="119"/>
      <c r="J59" s="289"/>
      <c r="K59" s="283"/>
    </row>
    <row r="60" spans="1:11" x14ac:dyDescent="0.35">
      <c r="A60" s="57">
        <f t="shared" si="12"/>
        <v>0</v>
      </c>
      <c r="B60" s="146" t="str">
        <f t="shared" si="9"/>
        <v>%</v>
      </c>
      <c r="C60" s="50" t="s">
        <v>125</v>
      </c>
      <c r="D60" s="269"/>
      <c r="E60" s="26" t="s">
        <v>53</v>
      </c>
      <c r="F60" s="106">
        <f t="shared" si="10"/>
        <v>1000</v>
      </c>
      <c r="G60" s="129" t="s">
        <v>54</v>
      </c>
      <c r="H60" s="270"/>
      <c r="I60" s="106">
        <v>1000</v>
      </c>
      <c r="J60" s="290"/>
      <c r="K60" s="275"/>
    </row>
    <row r="61" spans="1:11" x14ac:dyDescent="0.35">
      <c r="A61" s="114"/>
      <c r="B61" s="346"/>
      <c r="C61" s="347"/>
      <c r="D61" s="351"/>
      <c r="E61" s="348"/>
      <c r="F61" s="63"/>
      <c r="G61" s="349"/>
      <c r="H61" s="353"/>
      <c r="I61" s="63"/>
      <c r="J61" s="291"/>
      <c r="K61" s="292"/>
    </row>
    <row r="62" spans="1:11" ht="29" x14ac:dyDescent="0.35">
      <c r="A62" s="29">
        <f t="shared" si="12"/>
        <v>0</v>
      </c>
      <c r="B62" s="30" t="str">
        <f t="shared" si="9"/>
        <v>%</v>
      </c>
      <c r="C62" s="22" t="s">
        <v>126</v>
      </c>
      <c r="D62" s="224"/>
      <c r="E62" s="31" t="s">
        <v>127</v>
      </c>
      <c r="F62" s="32">
        <f t="shared" si="10"/>
        <v>500000</v>
      </c>
      <c r="G62" s="40" t="s">
        <v>128</v>
      </c>
      <c r="H62" s="265"/>
      <c r="I62" s="32">
        <v>500000</v>
      </c>
      <c r="J62" s="279" t="s">
        <v>129</v>
      </c>
      <c r="K62" s="277"/>
    </row>
    <row r="63" spans="1:11" x14ac:dyDescent="0.35">
      <c r="A63" s="29"/>
      <c r="B63" s="30"/>
      <c r="C63" s="22"/>
      <c r="D63" s="350"/>
      <c r="E63" s="31"/>
      <c r="F63" s="32"/>
      <c r="G63" s="40"/>
      <c r="H63" s="354"/>
      <c r="I63" s="32"/>
      <c r="J63" s="279"/>
      <c r="K63" s="277"/>
    </row>
    <row r="64" spans="1:11" x14ac:dyDescent="0.35">
      <c r="A64" s="29">
        <f t="shared" si="12"/>
        <v>0</v>
      </c>
      <c r="B64" s="30" t="str">
        <f t="shared" si="9"/>
        <v>%</v>
      </c>
      <c r="C64" s="22" t="s">
        <v>130</v>
      </c>
      <c r="D64" s="224"/>
      <c r="E64" s="31" t="s">
        <v>109</v>
      </c>
      <c r="F64" s="32">
        <f t="shared" si="10"/>
        <v>10</v>
      </c>
      <c r="G64" s="40" t="s">
        <v>110</v>
      </c>
      <c r="H64" s="265"/>
      <c r="I64" s="32">
        <v>10</v>
      </c>
      <c r="J64" s="279"/>
      <c r="K64" s="277"/>
    </row>
    <row r="65" spans="1:11" x14ac:dyDescent="0.35">
      <c r="A65" s="124"/>
      <c r="B65" s="65"/>
      <c r="C65" s="252"/>
      <c r="D65" s="352"/>
      <c r="E65" s="64"/>
      <c r="F65" s="61"/>
      <c r="G65" s="71"/>
      <c r="H65" s="355"/>
      <c r="I65" s="61"/>
      <c r="J65" s="293"/>
      <c r="K65" s="281"/>
    </row>
    <row r="66" spans="1:11" x14ac:dyDescent="0.35">
      <c r="A66" s="124">
        <f t="shared" ref="A66" si="21">D66*F66</f>
        <v>0</v>
      </c>
      <c r="B66" s="65" t="str">
        <f t="shared" ref="B66" si="22">IF($A$68&gt;0,A66/$A$68,"%")</f>
        <v>%</v>
      </c>
      <c r="C66" s="356" t="s">
        <v>131</v>
      </c>
      <c r="D66" s="260"/>
      <c r="E66" s="271"/>
      <c r="F66" s="272"/>
      <c r="G66" s="273"/>
      <c r="H66" s="266"/>
      <c r="I66" s="272"/>
      <c r="J66" s="293"/>
      <c r="K66" s="281"/>
    </row>
    <row r="67" spans="1:11" ht="15" thickBot="1" x14ac:dyDescent="0.4">
      <c r="A67" s="109"/>
      <c r="B67" s="116"/>
      <c r="C67" s="111"/>
      <c r="D67" s="118"/>
      <c r="E67" s="139"/>
      <c r="F67" s="119"/>
      <c r="G67" s="248"/>
      <c r="H67" s="248"/>
      <c r="I67" s="119"/>
      <c r="J67" s="289"/>
      <c r="K67" s="283"/>
    </row>
    <row r="68" spans="1:11" x14ac:dyDescent="0.35">
      <c r="A68" s="157">
        <f>SUM(A7:A66)</f>
        <v>0</v>
      </c>
      <c r="B68" s="158">
        <f>IF(A68&gt;0,A68/$A$68,0)</f>
        <v>0</v>
      </c>
      <c r="C68" s="159" t="s">
        <v>14</v>
      </c>
      <c r="D68" s="160"/>
      <c r="E68" s="161"/>
      <c r="F68" s="162"/>
      <c r="G68" s="161"/>
      <c r="H68" s="161"/>
      <c r="I68" s="161"/>
      <c r="J68" s="295"/>
      <c r="K68" s="296"/>
    </row>
    <row r="69" spans="1:11" x14ac:dyDescent="0.35">
      <c r="A69" s="29">
        <f>(A68)*F69</f>
        <v>0</v>
      </c>
      <c r="B69" s="43"/>
      <c r="C69" s="22" t="s">
        <v>132</v>
      </c>
      <c r="D69" s="2"/>
      <c r="E69" s="31"/>
      <c r="F69" s="78">
        <f t="shared" ref="F69:F73" si="23">IF(ISBLANK(H69),I69,H69)</f>
        <v>0.05</v>
      </c>
      <c r="G69" s="31" t="s">
        <v>133</v>
      </c>
      <c r="H69" s="231"/>
      <c r="I69" s="77">
        <v>0.05</v>
      </c>
      <c r="J69" s="279"/>
      <c r="K69" s="277"/>
    </row>
    <row r="70" spans="1:11" x14ac:dyDescent="0.35">
      <c r="A70" s="29">
        <f>SUM(A68:A69)*F70</f>
        <v>0</v>
      </c>
      <c r="B70" s="43"/>
      <c r="C70" s="22" t="s">
        <v>134</v>
      </c>
      <c r="D70" s="2"/>
      <c r="E70" s="31"/>
      <c r="F70" s="78">
        <f t="shared" si="23"/>
        <v>0.3</v>
      </c>
      <c r="G70" s="31" t="s">
        <v>133</v>
      </c>
      <c r="H70" s="231"/>
      <c r="I70" s="77">
        <v>0.3</v>
      </c>
      <c r="J70" s="279"/>
      <c r="K70" s="277"/>
    </row>
    <row r="71" spans="1:11" x14ac:dyDescent="0.35">
      <c r="A71" s="29">
        <f>SUM(A68:A69)*F71</f>
        <v>0</v>
      </c>
      <c r="B71" s="43"/>
      <c r="C71" s="22" t="s">
        <v>135</v>
      </c>
      <c r="D71" s="2"/>
      <c r="E71" s="31"/>
      <c r="F71" s="78">
        <f t="shared" si="23"/>
        <v>0.05</v>
      </c>
      <c r="G71" s="31" t="s">
        <v>133</v>
      </c>
      <c r="H71" s="231"/>
      <c r="I71" s="77">
        <v>0.05</v>
      </c>
      <c r="J71" s="279"/>
      <c r="K71" s="277"/>
    </row>
    <row r="72" spans="1:11" ht="43.5" x14ac:dyDescent="0.35">
      <c r="A72" s="29">
        <f>SUM(A68:A71)*F72</f>
        <v>0</v>
      </c>
      <c r="B72" s="31"/>
      <c r="C72" s="53" t="s">
        <v>136</v>
      </c>
      <c r="D72" s="2"/>
      <c r="E72" s="31"/>
      <c r="F72" s="78">
        <f t="shared" si="23"/>
        <v>0.15</v>
      </c>
      <c r="G72" s="31" t="s">
        <v>133</v>
      </c>
      <c r="H72" s="231"/>
      <c r="I72" s="77">
        <v>0.15</v>
      </c>
      <c r="J72" s="279" t="s">
        <v>137</v>
      </c>
      <c r="K72" s="277"/>
    </row>
    <row r="73" spans="1:11" ht="15" thickBot="1" x14ac:dyDescent="0.4">
      <c r="A73" s="109">
        <f>SUM(A68:A72)*F73</f>
        <v>0</v>
      </c>
      <c r="B73" s="110"/>
      <c r="C73" s="111" t="s">
        <v>138</v>
      </c>
      <c r="D73" s="112"/>
      <c r="E73" s="24"/>
      <c r="F73" s="113">
        <f t="shared" si="23"/>
        <v>0.2</v>
      </c>
      <c r="G73" s="24" t="s">
        <v>133</v>
      </c>
      <c r="H73" s="232"/>
      <c r="I73" s="140">
        <v>0.2</v>
      </c>
      <c r="J73" s="289"/>
      <c r="K73" s="283"/>
    </row>
    <row r="74" spans="1:11" ht="15" thickBot="1" x14ac:dyDescent="0.4">
      <c r="A74" s="133">
        <f>SUM(A68:A73)</f>
        <v>0</v>
      </c>
      <c r="B74" s="134"/>
      <c r="C74" s="87" t="s">
        <v>139</v>
      </c>
      <c r="D74" s="223"/>
      <c r="E74" s="132"/>
      <c r="F74" s="132"/>
      <c r="G74" s="132"/>
      <c r="H74" s="132"/>
      <c r="I74" s="132"/>
      <c r="J74" s="132"/>
      <c r="K74" s="297"/>
    </row>
    <row r="75" spans="1:11" ht="15" thickBot="1" x14ac:dyDescent="0.4">
      <c r="A75" s="135">
        <f>A74*0.5</f>
        <v>0</v>
      </c>
      <c r="B75" s="136"/>
      <c r="C75" s="90" t="s">
        <v>21</v>
      </c>
      <c r="D75" s="49"/>
      <c r="E75" s="48"/>
      <c r="F75" s="48"/>
      <c r="G75" s="48"/>
      <c r="H75" s="48"/>
      <c r="I75" s="48"/>
      <c r="J75" s="48"/>
    </row>
    <row r="76" spans="1:11" ht="15" thickBot="1" x14ac:dyDescent="0.4">
      <c r="A76" s="137">
        <f>A74*2</f>
        <v>0</v>
      </c>
      <c r="B76" s="138"/>
      <c r="C76" s="93" t="s">
        <v>22</v>
      </c>
      <c r="D76" s="49"/>
      <c r="E76" s="48"/>
      <c r="F76" s="48"/>
      <c r="G76" s="48"/>
      <c r="H76" s="48"/>
      <c r="I76" s="48"/>
      <c r="J76" s="48"/>
    </row>
    <row r="77" spans="1:11" x14ac:dyDescent="0.35">
      <c r="A77" s="48"/>
      <c r="B77" s="48"/>
      <c r="C77" s="54"/>
      <c r="D77" s="49"/>
      <c r="E77" s="48"/>
      <c r="F77" s="48"/>
      <c r="G77" s="48"/>
      <c r="H77" s="48"/>
      <c r="I77" s="48"/>
      <c r="J77" s="48"/>
    </row>
    <row r="78" spans="1:11" x14ac:dyDescent="0.35">
      <c r="A78" s="48"/>
      <c r="B78" s="48"/>
      <c r="C78" s="54"/>
      <c r="D78" s="49"/>
      <c r="E78" s="48"/>
      <c r="F78" s="48"/>
      <c r="G78" s="48"/>
      <c r="H78" s="48"/>
      <c r="I78" s="48"/>
      <c r="J78" s="48"/>
    </row>
    <row r="79" spans="1:11" x14ac:dyDescent="0.35">
      <c r="A79" s="48"/>
      <c r="B79" s="48"/>
      <c r="C79" s="54"/>
      <c r="D79" s="49"/>
      <c r="E79" s="48"/>
      <c r="F79" s="48"/>
      <c r="G79" s="48"/>
      <c r="H79" s="48"/>
      <c r="I79" s="48"/>
      <c r="J79" s="48"/>
    </row>
    <row r="80" spans="1:11" x14ac:dyDescent="0.35">
      <c r="A80" s="48"/>
      <c r="B80" s="48"/>
      <c r="C80" s="54"/>
      <c r="D80" s="49"/>
      <c r="E80" s="48"/>
      <c r="F80" s="48"/>
      <c r="G80" s="48"/>
      <c r="H80" s="48"/>
      <c r="I80" s="48"/>
      <c r="J80" s="48"/>
    </row>
    <row r="81" spans="1:10" x14ac:dyDescent="0.35">
      <c r="A81" s="48"/>
      <c r="B81" s="48"/>
      <c r="C81" s="54"/>
      <c r="D81" s="49"/>
      <c r="E81" s="48"/>
      <c r="F81" s="48"/>
      <c r="G81" s="48"/>
      <c r="H81" s="48"/>
      <c r="I81" s="48"/>
      <c r="J81" s="48"/>
    </row>
    <row r="82" spans="1:10" x14ac:dyDescent="0.35">
      <c r="A82" s="48"/>
      <c r="B82" s="48"/>
      <c r="C82" s="54"/>
      <c r="D82" s="49"/>
      <c r="E82" s="48"/>
      <c r="F82" s="48"/>
      <c r="G82" s="48"/>
      <c r="H82" s="48"/>
      <c r="I82" s="48"/>
      <c r="J82" s="48"/>
    </row>
    <row r="83" spans="1:10" x14ac:dyDescent="0.35">
      <c r="A83" s="48"/>
      <c r="B83" s="48"/>
      <c r="C83" s="54"/>
      <c r="D83" s="49"/>
      <c r="E83" s="48"/>
      <c r="F83" s="48"/>
      <c r="G83" s="48"/>
      <c r="H83" s="48"/>
      <c r="I83" s="48"/>
      <c r="J83" s="48"/>
    </row>
    <row r="84" spans="1:10" x14ac:dyDescent="0.35">
      <c r="A84" s="48"/>
      <c r="B84" s="48"/>
      <c r="C84" s="54"/>
      <c r="D84" s="49"/>
      <c r="E84" s="48"/>
      <c r="F84" s="48"/>
      <c r="G84" s="48"/>
      <c r="H84" s="48"/>
      <c r="I84" s="48"/>
      <c r="J84" s="48"/>
    </row>
    <row r="85" spans="1:10" x14ac:dyDescent="0.35">
      <c r="A85" s="48"/>
      <c r="B85" s="48"/>
      <c r="C85" s="48"/>
      <c r="D85" s="49"/>
      <c r="E85" s="48"/>
      <c r="F85" s="48"/>
      <c r="G85" s="48"/>
      <c r="H85" s="48"/>
      <c r="I85" s="48"/>
      <c r="J85" s="48"/>
    </row>
    <row r="86" spans="1:10" x14ac:dyDescent="0.35">
      <c r="A86" s="48"/>
      <c r="B86" s="48"/>
      <c r="C86" s="48"/>
      <c r="D86" s="49"/>
      <c r="E86" s="48"/>
      <c r="F86" s="48"/>
      <c r="G86" s="48"/>
      <c r="H86" s="48"/>
      <c r="I86" s="48"/>
      <c r="J86" s="48"/>
    </row>
    <row r="87" spans="1:10" x14ac:dyDescent="0.35">
      <c r="A87" s="48"/>
      <c r="B87" s="48"/>
      <c r="C87" s="48"/>
      <c r="D87" s="49"/>
      <c r="E87" s="48"/>
      <c r="F87" s="48"/>
      <c r="G87" s="48"/>
      <c r="H87" s="48"/>
      <c r="I87" s="48"/>
      <c r="J87" s="48"/>
    </row>
    <row r="88" spans="1:10" x14ac:dyDescent="0.35">
      <c r="A88" s="48"/>
      <c r="B88" s="48"/>
      <c r="C88" s="48"/>
      <c r="D88" s="48"/>
      <c r="E88" s="48"/>
      <c r="F88" s="48"/>
      <c r="G88" s="48"/>
      <c r="H88" s="48"/>
      <c r="I88" s="48"/>
      <c r="J88" s="48"/>
    </row>
  </sheetData>
  <sheetProtection algorithmName="SHA-512" hashValue="Ox0E92pr0Hl9Ss5A4gF6wHMTmQGSEVRN95/GkZ3qDxsWqbdkeW2A4kcq3VK3caPtXK5H7jGml3oyC/hyDzaZ3w==" saltValue="vVwrDlHGdXQ3yR1mOwNK+w==" spinCount="100000" sheet="1" formatCells="0" formatColumns="0" formatRows="0" insertColumns="0" insertRows="0"/>
  <mergeCells count="1">
    <mergeCell ref="A1:C1"/>
  </mergeCells>
  <phoneticPr fontId="7" type="noConversion"/>
  <dataValidations count="1">
    <dataValidation type="list" allowBlank="1" showInputMessage="1" showErrorMessage="1" sqref="B4 B39" xr:uid="{270F49D1-3107-4343-B027-5D8708AE9D30}">
      <formula1>"Yes, No"</formula1>
    </dataValidation>
  </dataValidation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E8E9D-679B-439E-BDA2-9176BDF9CA93}">
  <sheetPr>
    <tabColor rgb="FFCCFFFF"/>
  </sheetPr>
  <dimension ref="A1:R115"/>
  <sheetViews>
    <sheetView zoomScale="125" zoomScaleNormal="125" workbookViewId="0">
      <pane xSplit="3" ySplit="4" topLeftCell="D61" activePane="bottomRight" state="frozen"/>
      <selection pane="topRight" activeCell="D1" sqref="D1"/>
      <selection pane="bottomLeft" activeCell="A5" sqref="A5"/>
      <selection pane="bottomRight" activeCell="E70" sqref="E70"/>
    </sheetView>
  </sheetViews>
  <sheetFormatPr defaultRowHeight="14.5" x14ac:dyDescent="0.35"/>
  <cols>
    <col min="1" max="1" width="13" customWidth="1"/>
    <col min="2" max="2" width="7.453125" customWidth="1"/>
    <col min="3" max="3" width="39.1796875" customWidth="1"/>
    <col min="4" max="4" width="10.1796875" customWidth="1"/>
    <col min="6" max="6" width="10.54296875" bestFit="1" customWidth="1"/>
    <col min="7" max="7" width="13.54296875" customWidth="1"/>
    <col min="8" max="8" width="10.453125" customWidth="1"/>
    <col min="9" max="9" width="11.26953125" customWidth="1"/>
    <col min="10" max="11" width="40.54296875" customWidth="1"/>
    <col min="18" max="18" width="9" bestFit="1" customWidth="1"/>
  </cols>
  <sheetData>
    <row r="1" spans="1:18" ht="19" thickBot="1" x14ac:dyDescent="0.5">
      <c r="A1" s="397" t="str">
        <f>'Total Cost Summary'!A1</f>
        <v xml:space="preserve">_________________ Dam Removal </v>
      </c>
      <c r="B1" s="397"/>
      <c r="C1" s="397"/>
      <c r="D1" t="s">
        <v>1</v>
      </c>
      <c r="E1" t="s">
        <v>2</v>
      </c>
    </row>
    <row r="2" spans="1:18" ht="19" thickBot="1" x14ac:dyDescent="0.5">
      <c r="A2" s="4" t="s">
        <v>140</v>
      </c>
      <c r="D2" s="14"/>
      <c r="E2" s="15" t="s">
        <v>25</v>
      </c>
      <c r="F2" s="16"/>
    </row>
    <row r="3" spans="1:18" ht="6" customHeight="1" thickBot="1" x14ac:dyDescent="0.4"/>
    <row r="4" spans="1:18" ht="29.5" thickBot="1" x14ac:dyDescent="0.4">
      <c r="A4" s="6" t="s">
        <v>5</v>
      </c>
      <c r="B4" s="10" t="s">
        <v>6</v>
      </c>
      <c r="C4" s="7" t="s">
        <v>7</v>
      </c>
      <c r="D4" s="46" t="s">
        <v>28</v>
      </c>
      <c r="E4" s="45" t="s">
        <v>29</v>
      </c>
      <c r="F4" s="10" t="s">
        <v>30</v>
      </c>
      <c r="G4" s="45" t="s">
        <v>29</v>
      </c>
      <c r="H4" s="234" t="s">
        <v>31</v>
      </c>
      <c r="I4" s="10" t="s">
        <v>32</v>
      </c>
      <c r="J4" s="10" t="s">
        <v>8</v>
      </c>
      <c r="K4" s="12" t="s">
        <v>9</v>
      </c>
    </row>
    <row r="5" spans="1:18" x14ac:dyDescent="0.35">
      <c r="A5" s="163"/>
      <c r="B5" s="164"/>
      <c r="C5" s="50" t="s">
        <v>141</v>
      </c>
      <c r="D5" s="165"/>
      <c r="E5" s="152"/>
      <c r="F5" s="166"/>
      <c r="G5" s="152"/>
      <c r="H5" s="167"/>
      <c r="I5" s="166"/>
      <c r="J5" s="290"/>
      <c r="K5" s="315"/>
      <c r="L5" s="300"/>
      <c r="M5" s="300"/>
      <c r="N5" s="300"/>
      <c r="O5" s="300"/>
      <c r="P5" s="300"/>
    </row>
    <row r="6" spans="1:18" ht="16.5" x14ac:dyDescent="0.35">
      <c r="A6" s="168">
        <f>D6*F6</f>
        <v>0</v>
      </c>
      <c r="B6" s="169" t="str">
        <f>IF($A$62&gt;0,A6/$A$62,"%")</f>
        <v>%</v>
      </c>
      <c r="C6" s="51" t="s">
        <v>142</v>
      </c>
      <c r="D6" s="225"/>
      <c r="E6" s="39" t="s">
        <v>64</v>
      </c>
      <c r="F6" s="170">
        <f>IF(ISBLANK(H6),I6,H6)</f>
        <v>7</v>
      </c>
      <c r="G6" s="39" t="s">
        <v>143</v>
      </c>
      <c r="H6" s="321"/>
      <c r="I6" s="170">
        <v>7</v>
      </c>
      <c r="J6" s="279"/>
      <c r="K6" s="310"/>
      <c r="L6" s="300"/>
      <c r="M6" s="300"/>
      <c r="N6" s="300"/>
      <c r="O6" s="300"/>
      <c r="P6" s="300"/>
    </row>
    <row r="7" spans="1:18" ht="16.5" x14ac:dyDescent="0.35">
      <c r="A7" s="168">
        <f>D7*F7</f>
        <v>0</v>
      </c>
      <c r="B7" s="169" t="str">
        <f>IF($A$62&gt;0,A7/$A$62,"%")</f>
        <v>%</v>
      </c>
      <c r="C7" s="51" t="s">
        <v>144</v>
      </c>
      <c r="D7" s="225"/>
      <c r="E7" s="39" t="s">
        <v>64</v>
      </c>
      <c r="F7" s="170">
        <f t="shared" ref="F7:F18" si="0">IF(ISBLANK(H7),I7,H7)</f>
        <v>20</v>
      </c>
      <c r="G7" s="39" t="s">
        <v>143</v>
      </c>
      <c r="H7" s="321"/>
      <c r="I7" s="170">
        <v>20</v>
      </c>
      <c r="J7" s="279"/>
      <c r="K7" s="310"/>
      <c r="L7" s="300"/>
      <c r="M7" s="300"/>
      <c r="N7" s="300"/>
      <c r="O7" s="300"/>
      <c r="P7" s="300"/>
    </row>
    <row r="8" spans="1:18" ht="17" thickBot="1" x14ac:dyDescent="0.4">
      <c r="A8" s="190">
        <f>(D6+D7)*D8*F8</f>
        <v>0</v>
      </c>
      <c r="B8" s="360" t="str">
        <f>IF($A$62&gt;0,A8/$A$62,"%")</f>
        <v>%</v>
      </c>
      <c r="C8" s="126" t="s">
        <v>145</v>
      </c>
      <c r="D8" s="226"/>
      <c r="E8" s="361" t="s">
        <v>35</v>
      </c>
      <c r="F8" s="193">
        <f t="shared" si="0"/>
        <v>10</v>
      </c>
      <c r="G8" s="361" t="s">
        <v>146</v>
      </c>
      <c r="H8" s="375"/>
      <c r="I8" s="376">
        <v>10</v>
      </c>
      <c r="J8" s="293"/>
      <c r="K8" s="311"/>
      <c r="L8" s="300"/>
      <c r="M8" s="300"/>
      <c r="N8" s="300"/>
      <c r="O8" s="300"/>
      <c r="P8" s="300"/>
    </row>
    <row r="9" spans="1:18" ht="15" thickTop="1" x14ac:dyDescent="0.35">
      <c r="A9" s="377"/>
      <c r="B9" s="362"/>
      <c r="C9" s="378" t="s">
        <v>147</v>
      </c>
      <c r="D9" s="379"/>
      <c r="E9" s="363"/>
      <c r="F9" s="364"/>
      <c r="G9" s="363"/>
      <c r="H9" s="380"/>
      <c r="I9" s="380"/>
      <c r="J9" s="381"/>
      <c r="K9" s="382"/>
      <c r="L9" s="300"/>
      <c r="M9" s="300"/>
      <c r="N9" s="300"/>
      <c r="O9" s="300"/>
      <c r="P9" s="300"/>
    </row>
    <row r="10" spans="1:18" x14ac:dyDescent="0.35">
      <c r="A10" s="168">
        <f>D10*F10</f>
        <v>0</v>
      </c>
      <c r="B10" s="169" t="str">
        <f>IF($A$62&gt;0,A10/$A$62,"%")</f>
        <v>%</v>
      </c>
      <c r="C10" s="52" t="s">
        <v>249</v>
      </c>
      <c r="D10" s="225"/>
      <c r="E10" s="39" t="s">
        <v>53</v>
      </c>
      <c r="F10" s="170">
        <f t="shared" si="0"/>
        <v>10000</v>
      </c>
      <c r="G10" s="172" t="s">
        <v>54</v>
      </c>
      <c r="H10" s="321"/>
      <c r="I10" s="170">
        <v>10000</v>
      </c>
      <c r="J10" s="279"/>
      <c r="K10" s="310"/>
      <c r="L10" s="300"/>
      <c r="M10" s="300"/>
      <c r="N10" s="300"/>
      <c r="O10" s="300"/>
      <c r="P10" s="372"/>
      <c r="R10" s="357"/>
    </row>
    <row r="11" spans="1:18" ht="16.5" x14ac:dyDescent="0.35">
      <c r="A11" s="168">
        <f>D11*F11</f>
        <v>0</v>
      </c>
      <c r="B11" s="169" t="str">
        <f>IF($A$62&gt;0,A11/$A$62,"%")</f>
        <v>%</v>
      </c>
      <c r="C11" s="52" t="s">
        <v>250</v>
      </c>
      <c r="D11" s="197">
        <f>D12*D13*((D14+D14+2*D13*D15)/2)/27</f>
        <v>0</v>
      </c>
      <c r="E11" s="39" t="s">
        <v>64</v>
      </c>
      <c r="F11" s="170">
        <f>IF(ISBLANK(H11),I11,H11)</f>
        <v>10</v>
      </c>
      <c r="G11" s="39" t="s">
        <v>148</v>
      </c>
      <c r="H11" s="321"/>
      <c r="I11" s="170">
        <v>10</v>
      </c>
      <c r="J11" s="279"/>
      <c r="K11" s="310"/>
      <c r="L11" s="300"/>
      <c r="M11" s="300"/>
      <c r="N11" s="300"/>
      <c r="O11" s="300"/>
      <c r="P11" s="300"/>
      <c r="R11" s="373"/>
    </row>
    <row r="12" spans="1:18" x14ac:dyDescent="0.35">
      <c r="A12" s="168"/>
      <c r="B12" s="169"/>
      <c r="C12" s="75" t="s">
        <v>255</v>
      </c>
      <c r="D12" s="225"/>
      <c r="E12" s="39" t="s">
        <v>173</v>
      </c>
      <c r="F12" s="374" t="str">
        <f>IF(D12+1&lt;=(D10*43560)^0.5*4,"Perimeter may not be long enough","")</f>
        <v/>
      </c>
      <c r="G12" s="39"/>
      <c r="H12" s="2"/>
      <c r="I12" s="170"/>
      <c r="J12" s="279"/>
      <c r="K12" s="310"/>
      <c r="L12" s="300"/>
      <c r="M12" s="300"/>
      <c r="N12" s="300"/>
      <c r="O12" s="300"/>
      <c r="P12" s="300"/>
      <c r="R12" s="373"/>
    </row>
    <row r="13" spans="1:18" x14ac:dyDescent="0.35">
      <c r="A13" s="168"/>
      <c r="B13" s="169"/>
      <c r="C13" s="75" t="s">
        <v>252</v>
      </c>
      <c r="D13" s="225"/>
      <c r="E13" s="39" t="s">
        <v>173</v>
      </c>
      <c r="F13" s="170"/>
      <c r="G13" s="39"/>
      <c r="H13" s="2"/>
      <c r="I13" s="170"/>
      <c r="J13" s="279"/>
      <c r="K13" s="310"/>
      <c r="L13" s="300"/>
      <c r="M13" s="300"/>
      <c r="N13" s="300"/>
      <c r="O13" s="300"/>
      <c r="P13" s="300"/>
      <c r="R13" s="373"/>
    </row>
    <row r="14" spans="1:18" x14ac:dyDescent="0.35">
      <c r="A14" s="168"/>
      <c r="B14" s="169"/>
      <c r="C14" s="75" t="s">
        <v>253</v>
      </c>
      <c r="D14" s="225"/>
      <c r="E14" s="39" t="s">
        <v>173</v>
      </c>
      <c r="F14" s="170"/>
      <c r="G14" s="39"/>
      <c r="H14" s="2"/>
      <c r="I14" s="170"/>
      <c r="J14" s="279"/>
      <c r="K14" s="310"/>
      <c r="L14" s="300"/>
      <c r="M14" s="300"/>
      <c r="N14" s="300"/>
      <c r="O14" s="300"/>
      <c r="P14" s="300"/>
      <c r="R14" s="373"/>
    </row>
    <row r="15" spans="1:18" x14ac:dyDescent="0.35">
      <c r="A15" s="168"/>
      <c r="B15" s="169"/>
      <c r="C15" s="383" t="s">
        <v>254</v>
      </c>
      <c r="D15" s="225"/>
      <c r="E15" s="391" t="s">
        <v>256</v>
      </c>
      <c r="F15" s="170"/>
      <c r="G15" s="39"/>
      <c r="H15" s="2"/>
      <c r="I15" s="170"/>
      <c r="J15" s="279"/>
      <c r="K15" s="310"/>
      <c r="L15" s="300"/>
      <c r="M15" s="300"/>
      <c r="N15" s="300"/>
      <c r="O15" s="300"/>
      <c r="P15" s="300"/>
      <c r="R15" s="357"/>
    </row>
    <row r="16" spans="1:18" x14ac:dyDescent="0.35">
      <c r="A16" s="168">
        <f t="shared" ref="A16:A18" si="1">D16*F16</f>
        <v>0</v>
      </c>
      <c r="B16" s="169" t="str">
        <f>IF($A$62&gt;0,A16/$A$62,"%")</f>
        <v>%</v>
      </c>
      <c r="C16" s="52" t="s">
        <v>149</v>
      </c>
      <c r="D16" s="173">
        <f>D10</f>
        <v>0</v>
      </c>
      <c r="E16" s="39" t="s">
        <v>53</v>
      </c>
      <c r="F16" s="170">
        <f t="shared" si="0"/>
        <v>1000</v>
      </c>
      <c r="G16" s="172" t="s">
        <v>54</v>
      </c>
      <c r="H16" s="321"/>
      <c r="I16" s="170">
        <v>1000</v>
      </c>
      <c r="J16" s="279"/>
      <c r="K16" s="310"/>
      <c r="L16" s="300"/>
      <c r="M16" s="300"/>
      <c r="N16" s="300"/>
      <c r="O16" s="300"/>
      <c r="P16" s="300"/>
      <c r="R16" s="357"/>
    </row>
    <row r="17" spans="1:18" ht="16.5" x14ac:dyDescent="0.35">
      <c r="A17" s="168">
        <f t="shared" si="1"/>
        <v>0</v>
      </c>
      <c r="B17" s="169" t="str">
        <f>IF($A$62&gt;0,A17/$A$62,"%")</f>
        <v>%</v>
      </c>
      <c r="C17" s="52" t="s">
        <v>150</v>
      </c>
      <c r="D17" s="225">
        <f>SUM(D6:D7)</f>
        <v>0</v>
      </c>
      <c r="E17" s="39" t="s">
        <v>64</v>
      </c>
      <c r="F17" s="170">
        <f t="shared" si="0"/>
        <v>0</v>
      </c>
      <c r="G17" s="39" t="s">
        <v>148</v>
      </c>
      <c r="H17" s="321">
        <v>0</v>
      </c>
      <c r="I17" s="170">
        <v>-5</v>
      </c>
      <c r="J17" s="279"/>
      <c r="K17" s="310"/>
      <c r="L17" s="300"/>
      <c r="M17" s="300"/>
      <c r="N17" s="300"/>
      <c r="O17" s="300"/>
      <c r="P17" s="300"/>
      <c r="R17" s="373"/>
    </row>
    <row r="18" spans="1:18" x14ac:dyDescent="0.35">
      <c r="A18" s="168">
        <f t="shared" si="1"/>
        <v>0</v>
      </c>
      <c r="B18" s="169" t="str">
        <f>IF($A$62&gt;0,A18/$A$62,"%")</f>
        <v>%</v>
      </c>
      <c r="C18" s="52" t="s">
        <v>151</v>
      </c>
      <c r="D18" s="173">
        <f>SUM(D6:D7)/0.2*27/43560</f>
        <v>0</v>
      </c>
      <c r="E18" s="39" t="s">
        <v>152</v>
      </c>
      <c r="F18" s="170">
        <f t="shared" si="0"/>
        <v>1000</v>
      </c>
      <c r="G18" s="172" t="s">
        <v>153</v>
      </c>
      <c r="H18" s="321"/>
      <c r="I18" s="170">
        <v>1000</v>
      </c>
      <c r="J18" s="279"/>
      <c r="K18" s="310"/>
      <c r="L18" s="300"/>
      <c r="M18" s="300"/>
      <c r="N18" s="300"/>
      <c r="O18" s="300"/>
      <c r="P18" s="300"/>
    </row>
    <row r="19" spans="1:18" x14ac:dyDescent="0.35">
      <c r="A19" s="168"/>
      <c r="B19" s="174"/>
      <c r="C19" s="51" t="s">
        <v>154</v>
      </c>
      <c r="D19" s="173"/>
      <c r="E19" s="39"/>
      <c r="F19" s="170"/>
      <c r="G19" s="39"/>
      <c r="H19" s="175"/>
      <c r="I19" s="170"/>
      <c r="J19" s="279"/>
      <c r="K19" s="310"/>
      <c r="L19" s="300"/>
      <c r="M19" s="300"/>
      <c r="N19" s="300"/>
      <c r="O19" s="300"/>
      <c r="P19" s="300"/>
    </row>
    <row r="20" spans="1:18" ht="29" x14ac:dyDescent="0.35">
      <c r="A20" s="168">
        <f>D20*F20</f>
        <v>0</v>
      </c>
      <c r="B20" s="169" t="str">
        <f>IF($A$62&gt;0,A20/$A$62,"%")</f>
        <v>%</v>
      </c>
      <c r="C20" s="55" t="s">
        <v>155</v>
      </c>
      <c r="D20" s="225"/>
      <c r="E20" s="39" t="s">
        <v>156</v>
      </c>
      <c r="F20" s="170">
        <f t="shared" ref="F20:F22" si="2">IF(ISBLANK(H20),I20,H20)</f>
        <v>5000</v>
      </c>
      <c r="G20" s="172" t="s">
        <v>157</v>
      </c>
      <c r="H20" s="321"/>
      <c r="I20" s="170">
        <v>5000</v>
      </c>
      <c r="J20" s="279" t="s">
        <v>158</v>
      </c>
      <c r="K20" s="310"/>
      <c r="L20" s="300"/>
      <c r="M20" s="300"/>
      <c r="N20" s="300"/>
      <c r="O20" s="300"/>
      <c r="P20" s="300"/>
    </row>
    <row r="21" spans="1:18" ht="16.5" x14ac:dyDescent="0.35">
      <c r="A21" s="168">
        <f>D21*F21</f>
        <v>0</v>
      </c>
      <c r="B21" s="169" t="str">
        <f>IF($A$62&gt;0,A21/$A$62,"%")</f>
        <v>%</v>
      </c>
      <c r="C21" s="55" t="s">
        <v>159</v>
      </c>
      <c r="D21" s="225"/>
      <c r="E21" s="39" t="s">
        <v>64</v>
      </c>
      <c r="F21" s="170">
        <f t="shared" si="2"/>
        <v>1000</v>
      </c>
      <c r="G21" s="39" t="s">
        <v>148</v>
      </c>
      <c r="H21" s="321"/>
      <c r="I21" s="170">
        <v>1000</v>
      </c>
      <c r="J21" s="279"/>
      <c r="K21" s="310"/>
      <c r="L21" s="300"/>
      <c r="M21" s="300"/>
      <c r="N21" s="300"/>
      <c r="O21" s="300"/>
      <c r="P21" s="300"/>
    </row>
    <row r="22" spans="1:18" ht="15" thickBot="1" x14ac:dyDescent="0.4">
      <c r="A22" s="384">
        <f>D22*F22</f>
        <v>0</v>
      </c>
      <c r="B22" s="365" t="str">
        <f>IF($A$62&gt;0,A22/$A$62,"%")</f>
        <v>%</v>
      </c>
      <c r="C22" s="385" t="s">
        <v>160</v>
      </c>
      <c r="D22" s="386">
        <f>D10</f>
        <v>0</v>
      </c>
      <c r="E22" s="366" t="s">
        <v>53</v>
      </c>
      <c r="F22" s="367">
        <f t="shared" si="2"/>
        <v>1000</v>
      </c>
      <c r="G22" s="387" t="s">
        <v>54</v>
      </c>
      <c r="H22" s="388"/>
      <c r="I22" s="367">
        <v>1000</v>
      </c>
      <c r="J22" s="389"/>
      <c r="K22" s="390"/>
      <c r="L22" s="300"/>
      <c r="M22" s="300"/>
      <c r="N22" s="300"/>
      <c r="O22" s="300"/>
      <c r="P22" s="300"/>
    </row>
    <row r="23" spans="1:18" ht="15.5" thickTop="1" thickBot="1" x14ac:dyDescent="0.4">
      <c r="A23" s="181"/>
      <c r="B23" s="182"/>
      <c r="C23" s="123"/>
      <c r="D23" s="183"/>
      <c r="E23" s="149"/>
      <c r="F23" s="184"/>
      <c r="G23" s="185"/>
      <c r="H23" s="184"/>
      <c r="I23" s="184"/>
      <c r="J23" s="313"/>
      <c r="K23" s="314"/>
      <c r="L23" s="300"/>
      <c r="M23" s="300"/>
      <c r="N23" s="300"/>
      <c r="O23" s="300"/>
      <c r="P23" s="300"/>
    </row>
    <row r="24" spans="1:18" x14ac:dyDescent="0.35">
      <c r="A24" s="163"/>
      <c r="B24" s="164"/>
      <c r="C24" s="50" t="s">
        <v>161</v>
      </c>
      <c r="D24" s="165"/>
      <c r="E24" s="152"/>
      <c r="F24" s="166"/>
      <c r="G24" s="152"/>
      <c r="H24" s="166"/>
      <c r="I24" s="166"/>
      <c r="J24" s="290"/>
      <c r="K24" s="315"/>
      <c r="L24" s="300"/>
      <c r="M24" s="300"/>
      <c r="N24" s="300"/>
      <c r="O24" s="300"/>
      <c r="P24" s="300"/>
    </row>
    <row r="25" spans="1:18" ht="35.5" customHeight="1" x14ac:dyDescent="0.35">
      <c r="A25" s="168">
        <f>D25*F25</f>
        <v>0</v>
      </c>
      <c r="B25" s="169" t="str">
        <f>IF($A$62&gt;0,A25/$A$62,"%")</f>
        <v>%</v>
      </c>
      <c r="C25" s="51" t="s">
        <v>162</v>
      </c>
      <c r="D25" s="225"/>
      <c r="E25" s="39" t="s">
        <v>64</v>
      </c>
      <c r="F25" s="170">
        <f t="shared" ref="F25:F28" si="3">IF(ISBLANK(H25),I25,H25)</f>
        <v>30</v>
      </c>
      <c r="G25" s="39" t="s">
        <v>148</v>
      </c>
      <c r="H25" s="321"/>
      <c r="I25" s="170">
        <v>30</v>
      </c>
      <c r="J25" s="279" t="s">
        <v>163</v>
      </c>
      <c r="K25" s="310"/>
      <c r="L25" s="300"/>
      <c r="M25" s="300"/>
      <c r="N25" s="300"/>
      <c r="O25" s="300"/>
      <c r="P25" s="300"/>
    </row>
    <row r="26" spans="1:18" ht="16.5" x14ac:dyDescent="0.35">
      <c r="A26" s="168">
        <f>(D25)*D26*F26</f>
        <v>0</v>
      </c>
      <c r="B26" s="169" t="str">
        <f>IF($A$62&gt;0,A26/$A$62,"%")</f>
        <v>%</v>
      </c>
      <c r="C26" s="51" t="s">
        <v>164</v>
      </c>
      <c r="D26" s="323"/>
      <c r="E26" s="39" t="s">
        <v>35</v>
      </c>
      <c r="F26" s="171">
        <f t="shared" si="3"/>
        <v>10</v>
      </c>
      <c r="G26" s="39" t="s">
        <v>146</v>
      </c>
      <c r="H26" s="322"/>
      <c r="I26" s="171">
        <v>10</v>
      </c>
      <c r="J26" s="279" t="s">
        <v>165</v>
      </c>
      <c r="K26" s="310"/>
      <c r="L26" s="300"/>
      <c r="M26" s="300"/>
      <c r="N26" s="300"/>
      <c r="O26" s="300"/>
      <c r="P26" s="300"/>
    </row>
    <row r="27" spans="1:18" ht="16.5" x14ac:dyDescent="0.35">
      <c r="A27" s="168">
        <f>D27*F27</f>
        <v>0</v>
      </c>
      <c r="B27" s="169" t="str">
        <f>IF($A$62&gt;0,A27/$A$62,"%")</f>
        <v>%</v>
      </c>
      <c r="C27" s="51" t="s">
        <v>166</v>
      </c>
      <c r="D27" s="225"/>
      <c r="E27" s="39" t="s">
        <v>117</v>
      </c>
      <c r="F27" s="170">
        <f t="shared" ref="F27" si="4">IF(ISBLANK(H27),I27,H27)</f>
        <v>10</v>
      </c>
      <c r="G27" s="172" t="s">
        <v>118</v>
      </c>
      <c r="H27" s="322"/>
      <c r="I27" s="171">
        <v>10</v>
      </c>
      <c r="J27" s="279" t="s">
        <v>167</v>
      </c>
      <c r="K27" s="310"/>
      <c r="L27" s="300"/>
      <c r="M27" s="300"/>
      <c r="N27" s="300"/>
      <c r="O27" s="300"/>
      <c r="P27" s="300"/>
    </row>
    <row r="28" spans="1:18" ht="16.5" x14ac:dyDescent="0.35">
      <c r="A28" s="168">
        <f>D28*F28</f>
        <v>0</v>
      </c>
      <c r="B28" s="169" t="str">
        <f>IF($A$62&gt;0,A28/$A$62,"%")</f>
        <v>%</v>
      </c>
      <c r="C28" s="51" t="s">
        <v>168</v>
      </c>
      <c r="D28" s="225"/>
      <c r="E28" s="39" t="s">
        <v>117</v>
      </c>
      <c r="F28" s="170">
        <f t="shared" si="3"/>
        <v>3.85</v>
      </c>
      <c r="G28" s="172" t="s">
        <v>118</v>
      </c>
      <c r="H28" s="322"/>
      <c r="I28" s="171">
        <v>3.85</v>
      </c>
      <c r="J28" s="279" t="s">
        <v>169</v>
      </c>
      <c r="K28" s="310"/>
      <c r="L28" s="300"/>
      <c r="M28" s="300"/>
      <c r="N28" s="300"/>
      <c r="O28" s="300"/>
      <c r="P28" s="300"/>
    </row>
    <row r="29" spans="1:18" ht="16.5" x14ac:dyDescent="0.35">
      <c r="A29" s="168">
        <f>D36*F29</f>
        <v>0</v>
      </c>
      <c r="B29" s="169" t="str">
        <f>IF($A$62&gt;0,A29/$A$62,"%")</f>
        <v>%</v>
      </c>
      <c r="C29" s="19" t="s">
        <v>170</v>
      </c>
      <c r="D29" s="197"/>
      <c r="E29" s="194"/>
      <c r="F29" s="170">
        <f>IF(ISBLANK(H29),I29,H29)</f>
        <v>50</v>
      </c>
      <c r="G29" s="194" t="s">
        <v>66</v>
      </c>
      <c r="H29" s="321"/>
      <c r="I29" s="170">
        <v>50</v>
      </c>
      <c r="J29" s="279"/>
      <c r="K29" s="310"/>
      <c r="L29" s="300"/>
      <c r="M29" s="300"/>
      <c r="N29" s="300"/>
      <c r="O29" s="300"/>
      <c r="P29" s="300"/>
    </row>
    <row r="30" spans="1:18" x14ac:dyDescent="0.35">
      <c r="A30" s="168"/>
      <c r="B30" s="174"/>
      <c r="C30" s="55" t="s">
        <v>171</v>
      </c>
      <c r="D30" s="225"/>
      <c r="E30" s="39" t="s">
        <v>35</v>
      </c>
      <c r="F30" s="170"/>
      <c r="G30" s="39"/>
      <c r="H30" s="175"/>
      <c r="I30" s="170"/>
      <c r="J30" s="279"/>
      <c r="K30" s="310"/>
      <c r="L30" s="300"/>
      <c r="M30" s="300"/>
      <c r="N30" s="300"/>
      <c r="O30" s="300"/>
      <c r="P30" s="300"/>
    </row>
    <row r="31" spans="1:18" x14ac:dyDescent="0.35">
      <c r="A31" s="168"/>
      <c r="B31" s="174"/>
      <c r="C31" s="55" t="s">
        <v>172</v>
      </c>
      <c r="D31" s="225"/>
      <c r="E31" s="214" t="s">
        <v>173</v>
      </c>
      <c r="F31" s="170"/>
      <c r="G31" s="214"/>
      <c r="H31" s="175"/>
      <c r="I31" s="170"/>
      <c r="J31" s="279"/>
      <c r="K31" s="310"/>
      <c r="L31" s="300"/>
      <c r="M31" s="300"/>
      <c r="N31" s="300"/>
      <c r="O31" s="300"/>
      <c r="P31" s="300"/>
    </row>
    <row r="32" spans="1:18" ht="29" x14ac:dyDescent="0.35">
      <c r="A32" s="168"/>
      <c r="B32" s="174"/>
      <c r="C32" s="66" t="s">
        <v>174</v>
      </c>
      <c r="D32" s="225"/>
      <c r="E32" s="40" t="s">
        <v>256</v>
      </c>
      <c r="F32" s="170"/>
      <c r="G32" s="214"/>
      <c r="H32" s="175"/>
      <c r="I32" s="170"/>
      <c r="J32" s="279"/>
      <c r="K32" s="310"/>
      <c r="L32" s="300"/>
      <c r="M32" s="300"/>
      <c r="N32" s="300"/>
      <c r="O32" s="300"/>
      <c r="P32" s="300"/>
    </row>
    <row r="33" spans="1:16" x14ac:dyDescent="0.35">
      <c r="A33" s="168"/>
      <c r="B33" s="174"/>
      <c r="C33" s="66" t="s">
        <v>175</v>
      </c>
      <c r="D33" s="225"/>
      <c r="E33" s="214" t="s">
        <v>173</v>
      </c>
      <c r="F33" s="170"/>
      <c r="G33" s="214"/>
      <c r="H33" s="175"/>
      <c r="I33" s="170"/>
      <c r="J33" s="279"/>
      <c r="K33" s="310"/>
      <c r="L33" s="300"/>
      <c r="M33" s="300"/>
      <c r="N33" s="300"/>
      <c r="O33" s="300"/>
      <c r="P33" s="300"/>
    </row>
    <row r="34" spans="1:16" ht="29" x14ac:dyDescent="0.35">
      <c r="A34" s="168"/>
      <c r="B34" s="174"/>
      <c r="C34" s="55" t="s">
        <v>176</v>
      </c>
      <c r="D34" s="197">
        <f>(D31^2+(D32*D31)^2)^0.5*D33</f>
        <v>0</v>
      </c>
      <c r="E34" s="194" t="s">
        <v>177</v>
      </c>
      <c r="F34" s="170"/>
      <c r="G34" s="194"/>
      <c r="H34" s="175"/>
      <c r="I34" s="170"/>
      <c r="J34" s="279"/>
      <c r="K34" s="310"/>
      <c r="L34" s="300"/>
      <c r="M34" s="300"/>
      <c r="N34" s="300"/>
      <c r="O34" s="300"/>
      <c r="P34" s="300"/>
    </row>
    <row r="35" spans="1:16" ht="29" x14ac:dyDescent="0.35">
      <c r="A35" s="168"/>
      <c r="B35" s="174"/>
      <c r="C35" s="66" t="s">
        <v>178</v>
      </c>
      <c r="D35" s="226"/>
      <c r="E35" s="192" t="s">
        <v>179</v>
      </c>
      <c r="F35" s="170"/>
      <c r="G35" s="194"/>
      <c r="H35" s="175"/>
      <c r="I35" s="170"/>
      <c r="J35" s="279"/>
      <c r="K35" s="310"/>
      <c r="L35" s="300"/>
      <c r="M35" s="300"/>
      <c r="N35" s="300"/>
      <c r="O35" s="300"/>
      <c r="P35" s="300"/>
    </row>
    <row r="36" spans="1:16" ht="16.5" x14ac:dyDescent="0.35">
      <c r="A36" s="168"/>
      <c r="B36" s="174"/>
      <c r="C36" s="55" t="s">
        <v>180</v>
      </c>
      <c r="D36" s="197">
        <f>D30*5280*D34*D35/27</f>
        <v>0</v>
      </c>
      <c r="E36" s="194" t="s">
        <v>181</v>
      </c>
      <c r="F36" s="170"/>
      <c r="G36" s="194"/>
      <c r="H36" s="175"/>
      <c r="I36" s="170"/>
      <c r="J36" s="279"/>
      <c r="K36" s="310"/>
      <c r="L36" s="300"/>
      <c r="M36" s="300"/>
      <c r="N36" s="300"/>
      <c r="O36" s="300"/>
      <c r="P36" s="300"/>
    </row>
    <row r="37" spans="1:16" x14ac:dyDescent="0.35">
      <c r="A37" s="168"/>
      <c r="B37" s="174"/>
      <c r="C37" s="51"/>
      <c r="D37" s="39"/>
      <c r="E37" s="39"/>
      <c r="F37" s="83"/>
      <c r="G37" s="172"/>
      <c r="H37" s="39"/>
      <c r="I37" s="83"/>
      <c r="J37" s="279"/>
      <c r="K37" s="310"/>
      <c r="L37" s="300"/>
      <c r="M37" s="300"/>
      <c r="N37" s="300"/>
      <c r="O37" s="300"/>
      <c r="P37" s="300"/>
    </row>
    <row r="38" spans="1:16" ht="15" thickBot="1" x14ac:dyDescent="0.4">
      <c r="A38" s="358">
        <f>(D37)*D38*F38</f>
        <v>0</v>
      </c>
      <c r="B38" s="359" t="str">
        <f>IF($A$62&gt;0,A38/$A$62,"%")</f>
        <v>%</v>
      </c>
      <c r="C38" s="144" t="s">
        <v>182</v>
      </c>
      <c r="D38" s="324"/>
      <c r="E38" s="131" t="s">
        <v>173</v>
      </c>
      <c r="F38" s="186">
        <f>IF(ISBLANK(H38),I38,H38)</f>
        <v>40</v>
      </c>
      <c r="G38" s="180" t="s">
        <v>110</v>
      </c>
      <c r="H38" s="227"/>
      <c r="I38" s="186">
        <v>40</v>
      </c>
      <c r="J38" s="289"/>
      <c r="K38" s="312"/>
      <c r="L38" s="300"/>
      <c r="M38" s="300"/>
      <c r="N38" s="300"/>
      <c r="O38" s="300"/>
      <c r="P38" s="300"/>
    </row>
    <row r="39" spans="1:16" ht="15" thickBot="1" x14ac:dyDescent="0.4">
      <c r="A39" s="181"/>
      <c r="B39" s="187"/>
      <c r="C39" s="123"/>
      <c r="D39" s="188"/>
      <c r="E39" s="149"/>
      <c r="F39" s="184"/>
      <c r="G39" s="149"/>
      <c r="H39" s="189"/>
      <c r="I39" s="184"/>
      <c r="J39" s="313"/>
      <c r="K39" s="314"/>
      <c r="L39" s="300"/>
      <c r="M39" s="300"/>
      <c r="N39" s="300"/>
      <c r="O39" s="300"/>
      <c r="P39" s="300"/>
    </row>
    <row r="40" spans="1:16" x14ac:dyDescent="0.35">
      <c r="A40" s="163"/>
      <c r="B40" s="164"/>
      <c r="C40" s="50" t="s">
        <v>183</v>
      </c>
      <c r="D40" s="165"/>
      <c r="E40" s="152"/>
      <c r="F40" s="166"/>
      <c r="G40" s="152"/>
      <c r="H40" s="167"/>
      <c r="I40" s="166"/>
      <c r="J40" s="290"/>
      <c r="K40" s="315"/>
      <c r="L40" s="300"/>
      <c r="M40" s="300"/>
      <c r="N40" s="300"/>
      <c r="O40" s="300"/>
      <c r="P40" s="300"/>
    </row>
    <row r="41" spans="1:16" x14ac:dyDescent="0.35">
      <c r="A41" s="168">
        <f>D41*F41</f>
        <v>0</v>
      </c>
      <c r="B41" s="169" t="str">
        <f>IF($A$62&gt;0,A41/$A$62,"%")</f>
        <v>%</v>
      </c>
      <c r="C41" s="51" t="s">
        <v>184</v>
      </c>
      <c r="D41" s="225"/>
      <c r="E41" s="39" t="s">
        <v>185</v>
      </c>
      <c r="F41" s="170">
        <f t="shared" ref="F41:F44" si="5">IF(ISBLANK(H41),I41,H41)</f>
        <v>30000</v>
      </c>
      <c r="G41" s="172" t="s">
        <v>186</v>
      </c>
      <c r="H41" s="321"/>
      <c r="I41" s="170">
        <v>30000</v>
      </c>
      <c r="J41" s="279"/>
      <c r="K41" s="310"/>
      <c r="L41" s="300"/>
      <c r="M41" s="300"/>
      <c r="N41" s="300"/>
      <c r="O41" s="300"/>
      <c r="P41" s="300"/>
    </row>
    <row r="42" spans="1:16" x14ac:dyDescent="0.35">
      <c r="A42" s="168">
        <f t="shared" ref="A42:A44" si="6">D42*F42</f>
        <v>0</v>
      </c>
      <c r="B42" s="169" t="str">
        <f>IF($A$62&gt;0,A42/$A$62,"%")</f>
        <v>%</v>
      </c>
      <c r="C42" s="51" t="s">
        <v>187</v>
      </c>
      <c r="D42" s="225"/>
      <c r="E42" s="39" t="s">
        <v>188</v>
      </c>
      <c r="F42" s="170">
        <f t="shared" si="5"/>
        <v>100000</v>
      </c>
      <c r="G42" s="172" t="s">
        <v>40</v>
      </c>
      <c r="H42" s="321"/>
      <c r="I42" s="170">
        <v>100000</v>
      </c>
      <c r="J42" s="279"/>
      <c r="K42" s="310"/>
      <c r="L42" s="300"/>
      <c r="M42" s="300"/>
      <c r="N42" s="300"/>
      <c r="O42" s="300"/>
      <c r="P42" s="300"/>
    </row>
    <row r="43" spans="1:16" ht="16.5" x14ac:dyDescent="0.35">
      <c r="A43" s="168">
        <f t="shared" ref="A43" si="7">D43*F43</f>
        <v>0</v>
      </c>
      <c r="B43" s="169" t="str">
        <f>IF($A$62&gt;0,A43/$A$62,"%")</f>
        <v>%</v>
      </c>
      <c r="C43" s="51" t="s">
        <v>189</v>
      </c>
      <c r="D43" s="225"/>
      <c r="E43" s="39" t="s">
        <v>181</v>
      </c>
      <c r="F43" s="170">
        <f t="shared" si="5"/>
        <v>6</v>
      </c>
      <c r="G43" s="172" t="s">
        <v>190</v>
      </c>
      <c r="H43" s="321"/>
      <c r="I43" s="170">
        <v>6</v>
      </c>
      <c r="J43" s="279"/>
      <c r="K43" s="310"/>
      <c r="L43" s="300"/>
      <c r="M43" s="300"/>
      <c r="N43" s="300"/>
      <c r="O43" s="300"/>
      <c r="P43" s="300"/>
    </row>
    <row r="44" spans="1:16" ht="15" thickBot="1" x14ac:dyDescent="0.4">
      <c r="A44" s="176">
        <f t="shared" si="6"/>
        <v>0</v>
      </c>
      <c r="B44" s="177" t="str">
        <f>IF($A$62&gt;0,A44/$A$62,"%")</f>
        <v>%</v>
      </c>
      <c r="C44" s="178" t="s">
        <v>191</v>
      </c>
      <c r="D44" s="324"/>
      <c r="E44" s="131" t="s">
        <v>109</v>
      </c>
      <c r="F44" s="179">
        <f t="shared" si="5"/>
        <v>50</v>
      </c>
      <c r="G44" s="180" t="s">
        <v>110</v>
      </c>
      <c r="H44" s="227"/>
      <c r="I44" s="179">
        <v>50</v>
      </c>
      <c r="J44" s="289"/>
      <c r="K44" s="312"/>
      <c r="L44" s="300"/>
      <c r="M44" s="300"/>
      <c r="N44" s="300"/>
      <c r="O44" s="300"/>
      <c r="P44" s="300"/>
    </row>
    <row r="45" spans="1:16" ht="15" thickBot="1" x14ac:dyDescent="0.4">
      <c r="A45" s="181"/>
      <c r="B45" s="182"/>
      <c r="C45" s="123"/>
      <c r="D45" s="183"/>
      <c r="E45" s="235"/>
      <c r="F45" s="184"/>
      <c r="G45" s="320"/>
      <c r="H45" s="184"/>
      <c r="I45" s="184"/>
      <c r="J45" s="313"/>
      <c r="K45" s="314"/>
      <c r="L45" s="300"/>
      <c r="M45" s="300"/>
      <c r="N45" s="300"/>
      <c r="O45" s="300"/>
      <c r="P45" s="300"/>
    </row>
    <row r="46" spans="1:16" ht="17" thickBot="1" x14ac:dyDescent="0.4">
      <c r="A46" s="163">
        <f>D53*F46</f>
        <v>0</v>
      </c>
      <c r="B46" s="236" t="str">
        <f>IF($A$62&gt;0,A46/$A$62,"%")</f>
        <v>%</v>
      </c>
      <c r="C46" s="237" t="s">
        <v>192</v>
      </c>
      <c r="D46" s="165"/>
      <c r="E46" s="152"/>
      <c r="F46" s="179">
        <f>IF(ISBLANK(H46),I46,H46)</f>
        <v>50</v>
      </c>
      <c r="G46" s="219" t="s">
        <v>66</v>
      </c>
      <c r="H46" s="227"/>
      <c r="I46" s="179">
        <v>50</v>
      </c>
      <c r="J46" s="290"/>
      <c r="K46" s="315"/>
      <c r="L46" s="300"/>
      <c r="M46" s="300"/>
      <c r="N46" s="300"/>
      <c r="O46" s="300"/>
      <c r="P46" s="300"/>
    </row>
    <row r="47" spans="1:16" x14ac:dyDescent="0.35">
      <c r="A47" s="168"/>
      <c r="B47" s="174"/>
      <c r="C47" s="55" t="s">
        <v>171</v>
      </c>
      <c r="D47" s="225"/>
      <c r="E47" s="39" t="s">
        <v>35</v>
      </c>
      <c r="F47" s="170"/>
      <c r="G47" s="39"/>
      <c r="H47" s="175"/>
      <c r="I47" s="170"/>
      <c r="J47" s="279"/>
      <c r="K47" s="310"/>
      <c r="L47" s="300"/>
      <c r="M47" s="300"/>
      <c r="N47" s="300"/>
      <c r="O47" s="300"/>
      <c r="P47" s="300"/>
    </row>
    <row r="48" spans="1:16" x14ac:dyDescent="0.35">
      <c r="A48" s="168"/>
      <c r="B48" s="174"/>
      <c r="C48" s="55" t="s">
        <v>172</v>
      </c>
      <c r="D48" s="225"/>
      <c r="E48" s="214" t="s">
        <v>173</v>
      </c>
      <c r="F48" s="170"/>
      <c r="G48" s="214"/>
      <c r="H48" s="175"/>
      <c r="I48" s="170"/>
      <c r="J48" s="279"/>
      <c r="K48" s="310"/>
      <c r="L48" s="300"/>
      <c r="M48" s="300"/>
      <c r="N48" s="300"/>
      <c r="O48" s="300"/>
      <c r="P48" s="300"/>
    </row>
    <row r="49" spans="1:16" ht="14.5" customHeight="1" x14ac:dyDescent="0.35">
      <c r="A49" s="168"/>
      <c r="B49" s="174"/>
      <c r="C49" s="66" t="s">
        <v>174</v>
      </c>
      <c r="D49" s="225"/>
      <c r="E49" s="392" t="s">
        <v>256</v>
      </c>
      <c r="F49" s="170"/>
      <c r="G49" s="214"/>
      <c r="H49" s="175"/>
      <c r="I49" s="170"/>
      <c r="J49" s="279"/>
      <c r="K49" s="310"/>
      <c r="L49" s="300"/>
      <c r="M49" s="300"/>
      <c r="N49" s="300"/>
      <c r="O49" s="300"/>
      <c r="P49" s="300"/>
    </row>
    <row r="50" spans="1:16" ht="14.5" customHeight="1" x14ac:dyDescent="0.35">
      <c r="A50" s="168"/>
      <c r="B50" s="174"/>
      <c r="C50" s="66" t="s">
        <v>175</v>
      </c>
      <c r="D50" s="225"/>
      <c r="E50" s="214" t="s">
        <v>173</v>
      </c>
      <c r="F50" s="170"/>
      <c r="G50" s="214"/>
      <c r="H50" s="175"/>
      <c r="I50" s="170"/>
      <c r="J50" s="279"/>
      <c r="K50" s="310"/>
      <c r="L50" s="300"/>
      <c r="M50" s="300"/>
      <c r="N50" s="300"/>
      <c r="O50" s="300"/>
      <c r="P50" s="300"/>
    </row>
    <row r="51" spans="1:16" ht="14.5" customHeight="1" x14ac:dyDescent="0.35">
      <c r="A51" s="168"/>
      <c r="B51" s="174"/>
      <c r="C51" s="55" t="s">
        <v>176</v>
      </c>
      <c r="D51" s="197">
        <f>(D48^2+(D49*D48)^2)^0.5*D50</f>
        <v>0</v>
      </c>
      <c r="E51" s="194" t="s">
        <v>177</v>
      </c>
      <c r="F51" s="170"/>
      <c r="G51" s="194"/>
      <c r="H51" s="175"/>
      <c r="I51" s="170"/>
      <c r="J51" s="279"/>
      <c r="K51" s="310"/>
      <c r="L51" s="300"/>
      <c r="M51" s="300"/>
      <c r="N51" s="300"/>
      <c r="O51" s="300"/>
      <c r="P51" s="300"/>
    </row>
    <row r="52" spans="1:16" ht="29" x14ac:dyDescent="0.35">
      <c r="A52" s="190"/>
      <c r="B52" s="191"/>
      <c r="C52" s="66" t="s">
        <v>178</v>
      </c>
      <c r="D52" s="226"/>
      <c r="E52" s="192" t="s">
        <v>179</v>
      </c>
      <c r="F52" s="170"/>
      <c r="G52" s="194"/>
      <c r="H52" s="175"/>
      <c r="I52" s="170"/>
      <c r="J52" s="293"/>
      <c r="K52" s="311"/>
      <c r="L52" s="300"/>
      <c r="M52" s="300"/>
      <c r="N52" s="300"/>
      <c r="O52" s="300"/>
      <c r="P52" s="300"/>
    </row>
    <row r="53" spans="1:16" ht="16.5" x14ac:dyDescent="0.35">
      <c r="A53" s="190"/>
      <c r="B53" s="191"/>
      <c r="C53" s="55" t="s">
        <v>180</v>
      </c>
      <c r="D53" s="197">
        <f>D47*5280*D51*D52/27</f>
        <v>0</v>
      </c>
      <c r="E53" s="194" t="s">
        <v>181</v>
      </c>
      <c r="F53" s="170"/>
      <c r="G53" s="194"/>
      <c r="H53" s="175"/>
      <c r="I53" s="170"/>
      <c r="J53" s="293"/>
      <c r="K53" s="311"/>
      <c r="L53" s="300"/>
      <c r="M53" s="300"/>
      <c r="N53" s="300"/>
      <c r="O53" s="300"/>
      <c r="P53" s="300"/>
    </row>
    <row r="54" spans="1:16" ht="15" thickBot="1" x14ac:dyDescent="0.4">
      <c r="A54" s="181"/>
      <c r="B54" s="187"/>
      <c r="C54" s="123"/>
      <c r="D54" s="149"/>
      <c r="E54" s="149"/>
      <c r="F54" s="235"/>
      <c r="G54" s="185"/>
      <c r="H54" s="149"/>
      <c r="I54" s="235"/>
      <c r="J54" s="313"/>
      <c r="K54" s="314"/>
      <c r="L54" s="300"/>
      <c r="M54" s="300"/>
      <c r="N54" s="300"/>
      <c r="O54" s="300"/>
      <c r="P54" s="300"/>
    </row>
    <row r="55" spans="1:16" x14ac:dyDescent="0.35">
      <c r="A55" s="163"/>
      <c r="B55" s="164"/>
      <c r="C55" s="50" t="s">
        <v>193</v>
      </c>
      <c r="D55" s="165"/>
      <c r="E55" s="152"/>
      <c r="F55" s="166"/>
      <c r="G55" s="195"/>
      <c r="H55" s="167"/>
      <c r="I55" s="166"/>
      <c r="J55" s="290"/>
      <c r="K55" s="315"/>
      <c r="L55" s="300"/>
      <c r="M55" s="300"/>
      <c r="N55" s="300"/>
      <c r="O55" s="300"/>
      <c r="P55" s="300"/>
    </row>
    <row r="56" spans="1:16" x14ac:dyDescent="0.35">
      <c r="A56" s="168"/>
      <c r="B56" s="174"/>
      <c r="C56" s="21" t="s">
        <v>194</v>
      </c>
      <c r="D56" s="368"/>
      <c r="E56" s="39"/>
      <c r="F56" s="170"/>
      <c r="G56" s="172"/>
      <c r="H56" s="175"/>
      <c r="I56" s="170"/>
      <c r="J56" s="279"/>
      <c r="K56" s="310"/>
      <c r="L56" s="300"/>
      <c r="M56" s="300"/>
      <c r="N56" s="300"/>
      <c r="O56" s="300"/>
      <c r="P56" s="300"/>
    </row>
    <row r="57" spans="1:16" x14ac:dyDescent="0.35">
      <c r="A57" s="196">
        <f>D57*F57</f>
        <v>0</v>
      </c>
      <c r="B57" s="370" t="str">
        <f t="shared" ref="B57:B60" si="8">IF($A$62&gt;0,A57/$A$62,"%")</f>
        <v>%</v>
      </c>
      <c r="C57" s="371" t="s">
        <v>195</v>
      </c>
      <c r="D57" s="225"/>
      <c r="E57" s="39" t="s">
        <v>53</v>
      </c>
      <c r="F57" s="170">
        <f t="shared" ref="F57:F60" si="9">IF(ISBLANK(H57),I57,H57)</f>
        <v>2473.7777777777778</v>
      </c>
      <c r="G57" s="172" t="s">
        <v>54</v>
      </c>
      <c r="H57" s="321"/>
      <c r="I57" s="170">
        <f>4.6/27*43560/3</f>
        <v>2473.7777777777778</v>
      </c>
      <c r="J57" s="279" t="s">
        <v>196</v>
      </c>
      <c r="K57" s="310"/>
      <c r="L57" s="300"/>
      <c r="M57" s="300"/>
      <c r="N57" s="300"/>
      <c r="O57" s="300"/>
      <c r="P57" s="300"/>
    </row>
    <row r="58" spans="1:16" x14ac:dyDescent="0.35">
      <c r="A58" s="196">
        <f t="shared" ref="A58:A60" si="10">D58*F58</f>
        <v>0</v>
      </c>
      <c r="B58" s="370" t="str">
        <f t="shared" si="8"/>
        <v>%</v>
      </c>
      <c r="C58" s="371" t="s">
        <v>197</v>
      </c>
      <c r="D58" s="225"/>
      <c r="E58" s="39" t="s">
        <v>53</v>
      </c>
      <c r="F58" s="170">
        <f t="shared" si="9"/>
        <v>6534</v>
      </c>
      <c r="G58" s="172" t="s">
        <v>54</v>
      </c>
      <c r="H58" s="321"/>
      <c r="I58" s="170">
        <f>150/1000*43560</f>
        <v>6534</v>
      </c>
      <c r="J58" s="279" t="s">
        <v>198</v>
      </c>
      <c r="K58" s="310"/>
      <c r="L58" s="300"/>
      <c r="M58" s="300"/>
      <c r="N58" s="300"/>
      <c r="O58" s="300"/>
      <c r="P58" s="300"/>
    </row>
    <row r="59" spans="1:16" x14ac:dyDescent="0.35">
      <c r="A59" s="196">
        <f t="shared" si="10"/>
        <v>0</v>
      </c>
      <c r="B59" s="169" t="str">
        <f t="shared" si="8"/>
        <v>%</v>
      </c>
      <c r="C59" s="369" t="s">
        <v>251</v>
      </c>
      <c r="D59" s="225"/>
      <c r="E59" s="39" t="s">
        <v>53</v>
      </c>
      <c r="F59" s="170">
        <f t="shared" si="9"/>
        <v>1000</v>
      </c>
      <c r="G59" s="172" t="s">
        <v>54</v>
      </c>
      <c r="H59" s="321"/>
      <c r="I59" s="170">
        <v>1000</v>
      </c>
      <c r="J59" s="279"/>
      <c r="K59" s="310"/>
      <c r="L59" s="300"/>
      <c r="M59" s="300"/>
      <c r="N59" s="300"/>
      <c r="O59" s="300"/>
      <c r="P59" s="300"/>
    </row>
    <row r="60" spans="1:16" x14ac:dyDescent="0.35">
      <c r="A60" s="196">
        <f t="shared" si="10"/>
        <v>0</v>
      </c>
      <c r="B60" s="169" t="str">
        <f t="shared" si="8"/>
        <v>%</v>
      </c>
      <c r="C60" s="369" t="s">
        <v>199</v>
      </c>
      <c r="D60" s="225"/>
      <c r="E60" s="39" t="s">
        <v>53</v>
      </c>
      <c r="F60" s="170">
        <f t="shared" si="9"/>
        <v>3000</v>
      </c>
      <c r="G60" s="172" t="s">
        <v>54</v>
      </c>
      <c r="H60" s="321"/>
      <c r="I60" s="170">
        <v>3000</v>
      </c>
      <c r="J60" s="279"/>
      <c r="K60" s="310"/>
      <c r="L60" s="300"/>
      <c r="M60" s="300"/>
      <c r="N60" s="300"/>
      <c r="O60" s="300"/>
      <c r="P60" s="300"/>
    </row>
    <row r="61" spans="1:16" ht="15" thickBot="1" x14ac:dyDescent="0.4">
      <c r="A61" s="198"/>
      <c r="B61" s="131"/>
      <c r="C61" s="131"/>
      <c r="D61" s="131"/>
      <c r="E61" s="131"/>
      <c r="F61" s="131"/>
      <c r="G61" s="131"/>
      <c r="H61" s="131"/>
      <c r="I61" s="131"/>
      <c r="J61" s="289"/>
      <c r="K61" s="312"/>
      <c r="L61" s="300"/>
      <c r="M61" s="300"/>
      <c r="N61" s="300"/>
      <c r="O61" s="300"/>
      <c r="P61" s="300"/>
    </row>
    <row r="62" spans="1:16" x14ac:dyDescent="0.35">
      <c r="A62" s="199">
        <f>SUM(A5:A60)</f>
        <v>0</v>
      </c>
      <c r="B62" s="200">
        <f>SUM(B5:B60)</f>
        <v>0</v>
      </c>
      <c r="C62" s="128" t="s">
        <v>14</v>
      </c>
      <c r="D62" s="201"/>
      <c r="E62" s="156"/>
      <c r="F62" s="202"/>
      <c r="G62" s="156"/>
      <c r="H62" s="156"/>
      <c r="I62" s="156"/>
      <c r="J62" s="291"/>
      <c r="K62" s="316"/>
      <c r="L62" s="300"/>
      <c r="M62" s="300"/>
      <c r="N62" s="300"/>
      <c r="O62" s="300"/>
      <c r="P62" s="300"/>
    </row>
    <row r="63" spans="1:16" x14ac:dyDescent="0.35">
      <c r="A63" s="168">
        <f>(A62)*F63</f>
        <v>0</v>
      </c>
      <c r="B63" s="174"/>
      <c r="C63" s="22" t="s">
        <v>132</v>
      </c>
      <c r="D63" s="39"/>
      <c r="E63" s="39"/>
      <c r="F63" s="203">
        <f t="shared" ref="F63:F67" si="11">IF(ISBLANK(H63),I63,H63)</f>
        <v>0.05</v>
      </c>
      <c r="G63" s="39" t="s">
        <v>133</v>
      </c>
      <c r="H63" s="325"/>
      <c r="I63" s="203">
        <v>0.05</v>
      </c>
      <c r="J63" s="279"/>
      <c r="K63" s="310"/>
      <c r="L63" s="300"/>
      <c r="M63" s="300"/>
      <c r="N63" s="300"/>
      <c r="O63" s="300"/>
      <c r="P63" s="300"/>
    </row>
    <row r="64" spans="1:16" x14ac:dyDescent="0.35">
      <c r="A64" s="168">
        <f>SUM(A62:A63)*F64</f>
        <v>0</v>
      </c>
      <c r="B64" s="174"/>
      <c r="C64" s="22" t="s">
        <v>134</v>
      </c>
      <c r="D64" s="39"/>
      <c r="E64" s="39"/>
      <c r="F64" s="203">
        <f t="shared" si="11"/>
        <v>0.3</v>
      </c>
      <c r="G64" s="39" t="s">
        <v>133</v>
      </c>
      <c r="H64" s="325"/>
      <c r="I64" s="203">
        <v>0.3</v>
      </c>
      <c r="J64" s="279"/>
      <c r="K64" s="310"/>
      <c r="L64" s="300"/>
      <c r="M64" s="300"/>
      <c r="N64" s="300"/>
      <c r="O64" s="300"/>
      <c r="P64" s="300"/>
    </row>
    <row r="65" spans="1:16" x14ac:dyDescent="0.35">
      <c r="A65" s="168">
        <f>SUM(A62:A63)*F65</f>
        <v>0</v>
      </c>
      <c r="B65" s="174"/>
      <c r="C65" s="22" t="s">
        <v>135</v>
      </c>
      <c r="D65" s="39"/>
      <c r="E65" s="39"/>
      <c r="F65" s="203">
        <f t="shared" si="11"/>
        <v>0.05</v>
      </c>
      <c r="G65" s="39" t="s">
        <v>133</v>
      </c>
      <c r="H65" s="325"/>
      <c r="I65" s="203">
        <v>0.05</v>
      </c>
      <c r="J65" s="279"/>
      <c r="K65" s="310"/>
      <c r="L65" s="300"/>
      <c r="M65" s="300"/>
      <c r="N65" s="300"/>
      <c r="O65" s="300"/>
      <c r="P65" s="300"/>
    </row>
    <row r="66" spans="1:16" x14ac:dyDescent="0.35">
      <c r="A66" s="168">
        <f>SUM(A62:A65)*F66</f>
        <v>0</v>
      </c>
      <c r="B66" s="39"/>
      <c r="C66" s="53" t="s">
        <v>136</v>
      </c>
      <c r="D66" s="39"/>
      <c r="E66" s="39"/>
      <c r="F66" s="203">
        <f t="shared" si="11"/>
        <v>0.15</v>
      </c>
      <c r="G66" s="39" t="s">
        <v>133</v>
      </c>
      <c r="H66" s="325"/>
      <c r="I66" s="203">
        <v>0.15</v>
      </c>
      <c r="J66" s="279"/>
      <c r="K66" s="310"/>
      <c r="L66" s="300"/>
      <c r="M66" s="300"/>
      <c r="N66" s="300"/>
      <c r="O66" s="300"/>
      <c r="P66" s="300"/>
    </row>
    <row r="67" spans="1:16" ht="15" thickBot="1" x14ac:dyDescent="0.4">
      <c r="A67" s="176">
        <f>SUM(A62:A66)*F67</f>
        <v>0</v>
      </c>
      <c r="B67" s="204"/>
      <c r="C67" s="111" t="s">
        <v>138</v>
      </c>
      <c r="D67" s="131"/>
      <c r="E67" s="131"/>
      <c r="F67" s="205">
        <f t="shared" si="11"/>
        <v>0.2</v>
      </c>
      <c r="G67" s="131" t="s">
        <v>133</v>
      </c>
      <c r="H67" s="326"/>
      <c r="I67" s="205">
        <v>0.2</v>
      </c>
      <c r="J67" s="289"/>
      <c r="K67" s="312"/>
      <c r="L67" s="300"/>
      <c r="M67" s="300"/>
      <c r="N67" s="300"/>
      <c r="O67" s="300"/>
      <c r="P67" s="300"/>
    </row>
    <row r="68" spans="1:16" ht="15" thickBot="1" x14ac:dyDescent="0.4">
      <c r="A68" s="206">
        <f>SUM(A62:A67)</f>
        <v>0</v>
      </c>
      <c r="B68" s="207"/>
      <c r="C68" s="87" t="s">
        <v>139</v>
      </c>
      <c r="D68" s="208"/>
      <c r="E68" s="209"/>
      <c r="F68" s="209"/>
      <c r="G68" s="209"/>
      <c r="H68" s="209"/>
      <c r="I68" s="209"/>
      <c r="J68" s="317"/>
      <c r="K68" s="317"/>
      <c r="L68" s="300"/>
      <c r="M68" s="300"/>
      <c r="N68" s="300"/>
      <c r="O68" s="300"/>
      <c r="P68" s="300"/>
    </row>
    <row r="69" spans="1:16" ht="15" thickBot="1" x14ac:dyDescent="0.4">
      <c r="A69" s="210">
        <f>A68*0.5</f>
        <v>0</v>
      </c>
      <c r="B69" s="211"/>
      <c r="C69" s="90" t="s">
        <v>21</v>
      </c>
      <c r="D69" s="54"/>
      <c r="E69" s="54"/>
      <c r="F69" s="54"/>
      <c r="G69" s="54"/>
      <c r="H69" s="54"/>
      <c r="I69" s="54"/>
      <c r="J69" s="318"/>
      <c r="K69" s="318"/>
      <c r="L69" s="300"/>
      <c r="M69" s="300"/>
      <c r="N69" s="300"/>
      <c r="O69" s="300"/>
      <c r="P69" s="300"/>
    </row>
    <row r="70" spans="1:16" ht="15" thickBot="1" x14ac:dyDescent="0.4">
      <c r="A70" s="212">
        <f>A68*2</f>
        <v>0</v>
      </c>
      <c r="B70" s="213"/>
      <c r="C70" s="93" t="s">
        <v>22</v>
      </c>
      <c r="D70" s="54"/>
      <c r="E70" s="54"/>
      <c r="F70" s="54"/>
      <c r="G70" s="54"/>
      <c r="H70" s="54"/>
      <c r="I70" s="54"/>
      <c r="J70" s="318"/>
      <c r="K70" s="318"/>
      <c r="L70" s="300"/>
      <c r="M70" s="300"/>
      <c r="N70" s="300"/>
      <c r="O70" s="300"/>
      <c r="P70" s="300"/>
    </row>
    <row r="71" spans="1:16" x14ac:dyDescent="0.35">
      <c r="A71" s="48"/>
      <c r="B71" s="48"/>
      <c r="C71" s="54"/>
      <c r="D71" s="48"/>
      <c r="E71" s="48"/>
      <c r="F71" s="48"/>
      <c r="G71" s="48"/>
      <c r="H71" s="48"/>
      <c r="I71" s="48"/>
      <c r="J71" s="319"/>
      <c r="K71" s="319"/>
      <c r="L71" s="300"/>
      <c r="M71" s="300"/>
      <c r="N71" s="300"/>
      <c r="O71" s="300"/>
      <c r="P71" s="300"/>
    </row>
    <row r="72" spans="1:16" x14ac:dyDescent="0.35">
      <c r="A72" s="48"/>
      <c r="B72" s="48"/>
      <c r="C72" s="54"/>
      <c r="D72" s="48"/>
      <c r="E72" s="48"/>
      <c r="F72" s="48"/>
      <c r="G72" s="48"/>
      <c r="H72" s="48"/>
      <c r="I72" s="48"/>
      <c r="J72" s="319"/>
      <c r="K72" s="319"/>
      <c r="L72" s="300"/>
      <c r="M72" s="300"/>
      <c r="N72" s="300"/>
      <c r="O72" s="300"/>
      <c r="P72" s="300"/>
    </row>
    <row r="73" spans="1:16" x14ac:dyDescent="0.35">
      <c r="A73" s="48"/>
      <c r="B73" s="48"/>
      <c r="C73" s="54"/>
      <c r="D73" s="48"/>
      <c r="E73" s="48"/>
      <c r="F73" s="48"/>
      <c r="G73" s="48"/>
      <c r="H73" s="48"/>
      <c r="I73" s="48"/>
      <c r="J73" s="319"/>
      <c r="K73" s="319"/>
      <c r="L73" s="300"/>
      <c r="M73" s="300"/>
      <c r="N73" s="300"/>
      <c r="O73" s="300"/>
      <c r="P73" s="300"/>
    </row>
    <row r="74" spans="1:16" x14ac:dyDescent="0.35">
      <c r="A74" s="48"/>
      <c r="B74" s="48"/>
      <c r="C74" s="54"/>
      <c r="D74" s="48"/>
      <c r="E74" s="48"/>
      <c r="F74" s="48"/>
      <c r="G74" s="48"/>
      <c r="H74" s="48"/>
      <c r="I74" s="48"/>
      <c r="J74" s="319"/>
      <c r="K74" s="319"/>
      <c r="L74" s="300"/>
      <c r="M74" s="300"/>
      <c r="N74" s="300"/>
      <c r="O74" s="300"/>
      <c r="P74" s="300"/>
    </row>
    <row r="75" spans="1:16" x14ac:dyDescent="0.35">
      <c r="A75" s="48"/>
      <c r="B75" s="48"/>
      <c r="C75" s="54"/>
      <c r="D75" s="48"/>
      <c r="E75" s="48"/>
      <c r="F75" s="48"/>
      <c r="G75" s="48"/>
      <c r="H75" s="48"/>
      <c r="I75" s="48"/>
      <c r="J75" s="319"/>
      <c r="K75" s="319"/>
      <c r="L75" s="300"/>
      <c r="M75" s="300"/>
      <c r="N75" s="300"/>
      <c r="O75" s="300"/>
      <c r="P75" s="300"/>
    </row>
    <row r="76" spans="1:16" x14ac:dyDescent="0.35">
      <c r="A76" s="48"/>
      <c r="B76" s="48"/>
      <c r="C76" s="54"/>
      <c r="D76" s="48"/>
      <c r="E76" s="48"/>
      <c r="F76" s="48"/>
      <c r="G76" s="48"/>
      <c r="H76" s="48"/>
      <c r="I76" s="48"/>
      <c r="J76" s="319"/>
      <c r="K76" s="319"/>
      <c r="L76" s="300"/>
      <c r="M76" s="300"/>
      <c r="N76" s="300"/>
      <c r="O76" s="300"/>
      <c r="P76" s="300"/>
    </row>
    <row r="77" spans="1:16" x14ac:dyDescent="0.35">
      <c r="A77" s="48"/>
      <c r="B77" s="48"/>
      <c r="C77" s="54"/>
      <c r="D77" s="48"/>
      <c r="E77" s="48"/>
      <c r="F77" s="48"/>
      <c r="G77" s="48"/>
      <c r="H77" s="48"/>
      <c r="I77" s="48"/>
      <c r="J77" s="319"/>
      <c r="K77" s="319"/>
      <c r="L77" s="300"/>
      <c r="M77" s="300"/>
      <c r="N77" s="300"/>
      <c r="O77" s="300"/>
      <c r="P77" s="300"/>
    </row>
    <row r="78" spans="1:16" x14ac:dyDescent="0.35">
      <c r="A78" s="48"/>
      <c r="B78" s="48"/>
      <c r="C78" s="54"/>
      <c r="D78" s="48"/>
      <c r="E78" s="48"/>
      <c r="F78" s="48"/>
      <c r="G78" s="48"/>
      <c r="H78" s="48"/>
      <c r="I78" s="48"/>
      <c r="J78" s="319"/>
      <c r="K78" s="319"/>
      <c r="L78" s="300"/>
      <c r="M78" s="300"/>
      <c r="N78" s="300"/>
      <c r="O78" s="300"/>
      <c r="P78" s="300"/>
    </row>
    <row r="79" spans="1:16" x14ac:dyDescent="0.35">
      <c r="A79" s="48"/>
      <c r="B79" s="48"/>
      <c r="C79" s="54"/>
      <c r="D79" s="48"/>
      <c r="E79" s="48"/>
      <c r="F79" s="48"/>
      <c r="G79" s="48"/>
      <c r="H79" s="48"/>
      <c r="I79" s="48"/>
      <c r="J79" s="319"/>
      <c r="K79" s="319"/>
      <c r="L79" s="300"/>
      <c r="M79" s="300"/>
      <c r="N79" s="300"/>
      <c r="O79" s="300"/>
      <c r="P79" s="300"/>
    </row>
    <row r="80" spans="1:16" x14ac:dyDescent="0.35">
      <c r="A80" s="48"/>
      <c r="B80" s="48"/>
      <c r="C80" s="54"/>
      <c r="D80" s="48"/>
      <c r="E80" s="48"/>
      <c r="F80" s="48"/>
      <c r="G80" s="48"/>
      <c r="H80" s="48"/>
      <c r="I80" s="48"/>
      <c r="J80" s="319"/>
      <c r="K80" s="319"/>
      <c r="L80" s="300"/>
      <c r="M80" s="300"/>
      <c r="N80" s="300"/>
      <c r="O80" s="300"/>
      <c r="P80" s="300"/>
    </row>
    <row r="81" spans="1:16" x14ac:dyDescent="0.35">
      <c r="A81" s="48"/>
      <c r="B81" s="48"/>
      <c r="C81" s="54"/>
      <c r="D81" s="48"/>
      <c r="E81" s="48"/>
      <c r="F81" s="48"/>
      <c r="G81" s="48"/>
      <c r="H81" s="48"/>
      <c r="I81" s="48"/>
      <c r="J81" s="319"/>
      <c r="K81" s="319"/>
      <c r="L81" s="300"/>
      <c r="M81" s="300"/>
      <c r="N81" s="300"/>
      <c r="O81" s="300"/>
      <c r="P81" s="300"/>
    </row>
    <row r="82" spans="1:16" x14ac:dyDescent="0.35">
      <c r="A82" s="48"/>
      <c r="B82" s="48"/>
      <c r="C82" s="54"/>
      <c r="D82" s="48"/>
      <c r="E82" s="48"/>
      <c r="F82" s="48"/>
      <c r="G82" s="48"/>
      <c r="H82" s="48"/>
      <c r="I82" s="48"/>
      <c r="J82" s="319"/>
      <c r="K82" s="319"/>
      <c r="L82" s="300"/>
      <c r="M82" s="300"/>
      <c r="N82" s="300"/>
      <c r="O82" s="300"/>
      <c r="P82" s="300"/>
    </row>
    <row r="83" spans="1:16" x14ac:dyDescent="0.35">
      <c r="A83" s="48"/>
      <c r="B83" s="48"/>
      <c r="C83" s="54"/>
      <c r="D83" s="48"/>
      <c r="E83" s="48"/>
      <c r="F83" s="48"/>
      <c r="G83" s="48"/>
      <c r="H83" s="48"/>
      <c r="I83" s="48"/>
      <c r="J83" s="319"/>
      <c r="K83" s="319"/>
      <c r="L83" s="300"/>
      <c r="M83" s="300"/>
      <c r="N83" s="300"/>
      <c r="O83" s="300"/>
      <c r="P83" s="300"/>
    </row>
    <row r="84" spans="1:16" x14ac:dyDescent="0.35">
      <c r="A84" s="48"/>
      <c r="B84" s="48"/>
      <c r="C84" s="54"/>
      <c r="D84" s="48"/>
      <c r="E84" s="48"/>
      <c r="F84" s="48"/>
      <c r="G84" s="48"/>
      <c r="H84" s="48"/>
      <c r="I84" s="48"/>
      <c r="J84" s="319"/>
      <c r="K84" s="319"/>
      <c r="L84" s="300"/>
      <c r="M84" s="300"/>
      <c r="N84" s="300"/>
      <c r="O84" s="300"/>
      <c r="P84" s="300"/>
    </row>
    <row r="85" spans="1:16" x14ac:dyDescent="0.35">
      <c r="A85" s="48"/>
      <c r="B85" s="48"/>
      <c r="C85" s="54"/>
      <c r="D85" s="48"/>
      <c r="E85" s="48"/>
      <c r="F85" s="48"/>
      <c r="G85" s="48"/>
      <c r="H85" s="48"/>
      <c r="I85" s="48"/>
      <c r="J85" s="319"/>
      <c r="K85" s="319"/>
      <c r="L85" s="300"/>
      <c r="M85" s="300"/>
      <c r="N85" s="300"/>
      <c r="O85" s="300"/>
      <c r="P85" s="300"/>
    </row>
    <row r="86" spans="1:16" x14ac:dyDescent="0.35">
      <c r="A86" s="48"/>
      <c r="B86" s="48"/>
      <c r="C86" s="54"/>
      <c r="D86" s="48"/>
      <c r="E86" s="48"/>
      <c r="F86" s="48"/>
      <c r="G86" s="48"/>
      <c r="H86" s="48"/>
      <c r="I86" s="48"/>
      <c r="J86" s="319"/>
      <c r="K86" s="319"/>
      <c r="L86" s="300"/>
      <c r="M86" s="300"/>
      <c r="N86" s="300"/>
      <c r="O86" s="300"/>
      <c r="P86" s="300"/>
    </row>
    <row r="87" spans="1:16" x14ac:dyDescent="0.35">
      <c r="A87" s="48"/>
      <c r="B87" s="48"/>
      <c r="C87" s="54"/>
      <c r="D87" s="48"/>
      <c r="E87" s="48"/>
      <c r="F87" s="48"/>
      <c r="G87" s="48"/>
      <c r="H87" s="48"/>
      <c r="I87" s="48"/>
      <c r="J87" s="319"/>
      <c r="K87" s="319"/>
      <c r="L87" s="300"/>
      <c r="M87" s="300"/>
      <c r="N87" s="300"/>
      <c r="O87" s="300"/>
      <c r="P87" s="300"/>
    </row>
    <row r="88" spans="1:16" x14ac:dyDescent="0.35">
      <c r="A88" s="48"/>
      <c r="B88" s="48"/>
      <c r="C88" s="54"/>
      <c r="D88" s="48"/>
      <c r="E88" s="48"/>
      <c r="F88" s="48"/>
      <c r="G88" s="48"/>
      <c r="H88" s="48"/>
      <c r="I88" s="48"/>
      <c r="J88" s="319"/>
      <c r="K88" s="319"/>
      <c r="L88" s="300"/>
      <c r="M88" s="300"/>
      <c r="N88" s="300"/>
      <c r="O88" s="300"/>
      <c r="P88" s="300"/>
    </row>
    <row r="89" spans="1:16" x14ac:dyDescent="0.35">
      <c r="A89" s="48"/>
      <c r="B89" s="48"/>
      <c r="C89" s="54"/>
      <c r="D89" s="48"/>
      <c r="E89" s="48"/>
      <c r="F89" s="48"/>
      <c r="G89" s="48"/>
      <c r="H89" s="48"/>
      <c r="I89" s="48"/>
      <c r="J89" s="319"/>
      <c r="K89" s="319"/>
      <c r="L89" s="300"/>
      <c r="M89" s="300"/>
      <c r="N89" s="300"/>
      <c r="O89" s="300"/>
      <c r="P89" s="300"/>
    </row>
    <row r="90" spans="1:16" x14ac:dyDescent="0.35">
      <c r="C90" s="54"/>
      <c r="J90" s="300"/>
      <c r="K90" s="300"/>
      <c r="L90" s="300"/>
      <c r="M90" s="300"/>
      <c r="N90" s="300"/>
      <c r="O90" s="300"/>
      <c r="P90" s="300"/>
    </row>
    <row r="91" spans="1:16" x14ac:dyDescent="0.35">
      <c r="J91" s="300"/>
      <c r="K91" s="300"/>
      <c r="L91" s="300"/>
      <c r="M91" s="300"/>
      <c r="N91" s="300"/>
      <c r="O91" s="300"/>
      <c r="P91" s="300"/>
    </row>
    <row r="92" spans="1:16" x14ac:dyDescent="0.35">
      <c r="J92" s="300"/>
      <c r="K92" s="300"/>
      <c r="L92" s="300"/>
      <c r="M92" s="300"/>
      <c r="N92" s="300"/>
      <c r="O92" s="300"/>
      <c r="P92" s="300"/>
    </row>
    <row r="93" spans="1:16" x14ac:dyDescent="0.35">
      <c r="J93" s="300"/>
      <c r="K93" s="300"/>
      <c r="L93" s="300"/>
      <c r="M93" s="300"/>
      <c r="N93" s="300"/>
      <c r="O93" s="300"/>
      <c r="P93" s="300"/>
    </row>
    <row r="94" spans="1:16" x14ac:dyDescent="0.35">
      <c r="J94" s="300"/>
      <c r="K94" s="300"/>
      <c r="L94" s="300"/>
      <c r="M94" s="300"/>
      <c r="N94" s="300"/>
      <c r="O94" s="300"/>
      <c r="P94" s="300"/>
    </row>
    <row r="95" spans="1:16" x14ac:dyDescent="0.35">
      <c r="J95" s="300"/>
      <c r="K95" s="300"/>
      <c r="L95" s="300"/>
      <c r="M95" s="300"/>
      <c r="N95" s="300"/>
      <c r="O95" s="300"/>
      <c r="P95" s="300"/>
    </row>
    <row r="96" spans="1:16" x14ac:dyDescent="0.35">
      <c r="J96" s="300"/>
      <c r="K96" s="300"/>
      <c r="L96" s="300"/>
      <c r="M96" s="300"/>
      <c r="N96" s="300"/>
      <c r="O96" s="300"/>
      <c r="P96" s="300"/>
    </row>
    <row r="97" spans="10:16" x14ac:dyDescent="0.35">
      <c r="J97" s="300"/>
      <c r="K97" s="300"/>
      <c r="L97" s="300"/>
      <c r="M97" s="300"/>
      <c r="N97" s="300"/>
      <c r="O97" s="300"/>
      <c r="P97" s="300"/>
    </row>
    <row r="98" spans="10:16" x14ac:dyDescent="0.35">
      <c r="J98" s="300"/>
      <c r="K98" s="300"/>
      <c r="L98" s="300"/>
      <c r="M98" s="300"/>
      <c r="N98" s="300"/>
      <c r="O98" s="300"/>
      <c r="P98" s="300"/>
    </row>
    <row r="99" spans="10:16" x14ac:dyDescent="0.35">
      <c r="J99" s="300"/>
      <c r="K99" s="300"/>
      <c r="L99" s="300"/>
      <c r="M99" s="300"/>
      <c r="N99" s="300"/>
      <c r="O99" s="300"/>
      <c r="P99" s="300"/>
    </row>
    <row r="100" spans="10:16" x14ac:dyDescent="0.35">
      <c r="J100" s="300"/>
      <c r="K100" s="300"/>
      <c r="L100" s="300"/>
      <c r="M100" s="300"/>
      <c r="N100" s="300"/>
      <c r="O100" s="300"/>
      <c r="P100" s="300"/>
    </row>
    <row r="101" spans="10:16" x14ac:dyDescent="0.35">
      <c r="J101" s="300"/>
      <c r="K101" s="300"/>
      <c r="L101" s="300"/>
      <c r="M101" s="300"/>
      <c r="N101" s="300"/>
      <c r="O101" s="300"/>
      <c r="P101" s="300"/>
    </row>
    <row r="102" spans="10:16" x14ac:dyDescent="0.35">
      <c r="J102" s="300"/>
      <c r="K102" s="300"/>
      <c r="L102" s="300"/>
      <c r="M102" s="300"/>
      <c r="N102" s="300"/>
      <c r="O102" s="300"/>
      <c r="P102" s="300"/>
    </row>
    <row r="103" spans="10:16" x14ac:dyDescent="0.35">
      <c r="J103" s="300"/>
      <c r="K103" s="300"/>
      <c r="L103" s="300"/>
      <c r="M103" s="300"/>
      <c r="N103" s="300"/>
      <c r="O103" s="300"/>
      <c r="P103" s="300"/>
    </row>
    <row r="104" spans="10:16" x14ac:dyDescent="0.35">
      <c r="J104" s="300"/>
      <c r="K104" s="300"/>
      <c r="L104" s="300"/>
      <c r="M104" s="300"/>
      <c r="N104" s="300"/>
      <c r="O104" s="300"/>
      <c r="P104" s="300"/>
    </row>
    <row r="105" spans="10:16" x14ac:dyDescent="0.35">
      <c r="J105" s="300"/>
      <c r="K105" s="300"/>
      <c r="L105" s="300"/>
      <c r="M105" s="300"/>
      <c r="N105" s="300"/>
      <c r="O105" s="300"/>
      <c r="P105" s="300"/>
    </row>
    <row r="106" spans="10:16" x14ac:dyDescent="0.35">
      <c r="J106" s="300"/>
      <c r="K106" s="300"/>
      <c r="L106" s="300"/>
      <c r="M106" s="300"/>
      <c r="N106" s="300"/>
      <c r="O106" s="300"/>
      <c r="P106" s="300"/>
    </row>
    <row r="107" spans="10:16" x14ac:dyDescent="0.35">
      <c r="J107" s="300"/>
      <c r="K107" s="300"/>
      <c r="L107" s="300"/>
      <c r="M107" s="300"/>
      <c r="N107" s="300"/>
      <c r="O107" s="300"/>
      <c r="P107" s="300"/>
    </row>
    <row r="108" spans="10:16" x14ac:dyDescent="0.35">
      <c r="J108" s="300"/>
      <c r="K108" s="300"/>
      <c r="L108" s="300"/>
      <c r="M108" s="300"/>
      <c r="N108" s="300"/>
      <c r="O108" s="300"/>
      <c r="P108" s="300"/>
    </row>
    <row r="109" spans="10:16" x14ac:dyDescent="0.35">
      <c r="J109" s="300"/>
      <c r="K109" s="300"/>
      <c r="L109" s="300"/>
      <c r="M109" s="300"/>
      <c r="N109" s="300"/>
      <c r="O109" s="300"/>
      <c r="P109" s="300"/>
    </row>
    <row r="110" spans="10:16" x14ac:dyDescent="0.35">
      <c r="J110" s="300"/>
      <c r="K110" s="300"/>
      <c r="L110" s="300"/>
      <c r="M110" s="300"/>
      <c r="N110" s="300"/>
      <c r="O110" s="300"/>
      <c r="P110" s="300"/>
    </row>
    <row r="111" spans="10:16" x14ac:dyDescent="0.35">
      <c r="J111" s="300"/>
      <c r="K111" s="300"/>
      <c r="L111" s="300"/>
      <c r="M111" s="300"/>
      <c r="N111" s="300"/>
      <c r="O111" s="300"/>
      <c r="P111" s="300"/>
    </row>
    <row r="112" spans="10:16" x14ac:dyDescent="0.35">
      <c r="J112" s="300"/>
      <c r="K112" s="300"/>
      <c r="L112" s="300"/>
      <c r="M112" s="300"/>
      <c r="N112" s="300"/>
      <c r="O112" s="300"/>
      <c r="P112" s="300"/>
    </row>
    <row r="113" spans="10:16" x14ac:dyDescent="0.35">
      <c r="J113" s="300"/>
      <c r="K113" s="300"/>
      <c r="L113" s="300"/>
      <c r="M113" s="300"/>
      <c r="N113" s="300"/>
      <c r="O113" s="300"/>
      <c r="P113" s="300"/>
    </row>
    <row r="114" spans="10:16" x14ac:dyDescent="0.35">
      <c r="J114" s="300"/>
      <c r="K114" s="300"/>
      <c r="L114" s="300"/>
      <c r="M114" s="300"/>
      <c r="N114" s="300"/>
      <c r="O114" s="300"/>
      <c r="P114" s="300"/>
    </row>
    <row r="115" spans="10:16" x14ac:dyDescent="0.35">
      <c r="J115" s="300"/>
      <c r="K115" s="300"/>
      <c r="L115" s="300"/>
      <c r="M115" s="300"/>
      <c r="N115" s="300"/>
      <c r="O115" s="300"/>
      <c r="P115" s="300"/>
    </row>
  </sheetData>
  <sheetProtection algorithmName="SHA-512" hashValue="2ruRsIwYalLFUdiOdcyyeHB5VftVhXEft2nIrchvhXZyUHq3AVIrIO2pl3+lHTjvuVR8MDgLpa3MVVmrq5oBsw==" saltValue="KDAxJ6Y9IsZ3boee6RcuWQ==" spinCount="100000" sheet="1" formatCells="0" formatColumns="0" formatRows="0" insertColumns="0" insertRows="0"/>
  <mergeCells count="1">
    <mergeCell ref="A1:C1"/>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D081-0CE8-45EB-8BB9-0A28019DED48}">
  <sheetPr>
    <tabColor rgb="FFFFFFCC"/>
  </sheetPr>
  <dimension ref="A1:AH80"/>
  <sheetViews>
    <sheetView zoomScale="125" zoomScaleNormal="125" workbookViewId="0">
      <pane xSplit="3" ySplit="4" topLeftCell="D5" activePane="bottomRight" state="frozen"/>
      <selection pane="topRight" activeCell="D1" sqref="D1"/>
      <selection pane="bottomLeft" activeCell="A5" sqref="A5"/>
      <selection pane="bottomRight" activeCell="C9" sqref="C9"/>
    </sheetView>
  </sheetViews>
  <sheetFormatPr defaultRowHeight="14.5" x14ac:dyDescent="0.35"/>
  <cols>
    <col min="1" max="1" width="13.54296875" customWidth="1"/>
    <col min="3" max="3" width="40.26953125" customWidth="1"/>
    <col min="6" max="6" width="10.54296875" bestFit="1" customWidth="1"/>
    <col min="7" max="7" width="13.54296875" customWidth="1"/>
    <col min="9" max="9" width="11.26953125" customWidth="1"/>
    <col min="10" max="11" width="40.54296875" customWidth="1"/>
  </cols>
  <sheetData>
    <row r="1" spans="1:34" ht="16" thickBot="1" x14ac:dyDescent="0.5">
      <c r="A1" s="397" t="str">
        <f>'Total Cost Summary'!A1</f>
        <v xml:space="preserve">_________________ Dam Removal </v>
      </c>
      <c r="B1" s="398"/>
      <c r="C1" s="398"/>
      <c r="D1" t="s">
        <v>1</v>
      </c>
      <c r="E1" t="s">
        <v>2</v>
      </c>
    </row>
    <row r="2" spans="1:34" ht="16" thickBot="1" x14ac:dyDescent="0.4">
      <c r="A2" s="5" t="s">
        <v>200</v>
      </c>
      <c r="D2" s="14"/>
      <c r="E2" s="15" t="s">
        <v>25</v>
      </c>
      <c r="F2" s="16"/>
    </row>
    <row r="3" spans="1:34" ht="15" thickBot="1" x14ac:dyDescent="0.4"/>
    <row r="4" spans="1:34" ht="44" thickBot="1" x14ac:dyDescent="0.4">
      <c r="A4" s="6" t="s">
        <v>5</v>
      </c>
      <c r="B4" s="10" t="s">
        <v>6</v>
      </c>
      <c r="C4" s="10" t="s">
        <v>7</v>
      </c>
      <c r="D4" s="218" t="s">
        <v>28</v>
      </c>
      <c r="E4" s="45" t="s">
        <v>29</v>
      </c>
      <c r="F4" s="10" t="s">
        <v>30</v>
      </c>
      <c r="G4" s="45" t="s">
        <v>29</v>
      </c>
      <c r="H4" s="142" t="s">
        <v>31</v>
      </c>
      <c r="I4" s="10" t="s">
        <v>32</v>
      </c>
      <c r="J4" s="10" t="s">
        <v>8</v>
      </c>
      <c r="K4" s="12" t="s">
        <v>9</v>
      </c>
    </row>
    <row r="5" spans="1:34" x14ac:dyDescent="0.35">
      <c r="A5" s="57"/>
      <c r="B5" s="58"/>
      <c r="C5" s="50" t="s">
        <v>201</v>
      </c>
      <c r="D5" s="59"/>
      <c r="E5" s="26"/>
      <c r="F5" s="60"/>
      <c r="G5" s="26"/>
      <c r="H5" s="26"/>
      <c r="I5" s="26"/>
      <c r="J5" s="274"/>
      <c r="K5" s="336"/>
      <c r="L5" s="300"/>
      <c r="M5" s="300"/>
      <c r="N5" s="300"/>
      <c r="O5" s="300"/>
      <c r="P5" s="300"/>
      <c r="Q5" s="300"/>
      <c r="R5" s="300"/>
      <c r="S5" s="300"/>
      <c r="T5" s="300"/>
      <c r="U5" s="300"/>
      <c r="V5" s="300"/>
      <c r="W5" s="300"/>
      <c r="X5" s="300"/>
      <c r="Y5" s="300"/>
      <c r="Z5" s="300"/>
      <c r="AA5" s="300"/>
      <c r="AB5" s="300"/>
      <c r="AC5" s="300"/>
      <c r="AD5" s="300"/>
      <c r="AE5" s="300"/>
      <c r="AF5" s="300"/>
      <c r="AG5" s="300"/>
      <c r="AH5" s="300"/>
    </row>
    <row r="6" spans="1:34" x14ac:dyDescent="0.35">
      <c r="A6" s="29">
        <f>D6*F6</f>
        <v>0</v>
      </c>
      <c r="B6" s="30" t="str">
        <f>IF($A$51&gt;0,A6/$A$51,"%")</f>
        <v>%</v>
      </c>
      <c r="C6" s="51" t="s">
        <v>202</v>
      </c>
      <c r="D6" s="224"/>
      <c r="E6" s="31" t="s">
        <v>35</v>
      </c>
      <c r="F6" s="32">
        <f>IF(ISBLANK(H6),I6,H6)</f>
        <v>20000</v>
      </c>
      <c r="G6" s="40" t="s">
        <v>36</v>
      </c>
      <c r="H6" s="228"/>
      <c r="I6" s="32">
        <v>20000</v>
      </c>
      <c r="J6" s="276"/>
      <c r="K6" s="337"/>
      <c r="L6" s="300"/>
      <c r="M6" s="300"/>
      <c r="N6" s="300"/>
      <c r="O6" s="300"/>
      <c r="P6" s="300"/>
      <c r="Q6" s="300"/>
      <c r="R6" s="300"/>
      <c r="S6" s="300"/>
      <c r="T6" s="300"/>
      <c r="U6" s="300"/>
      <c r="V6" s="300"/>
      <c r="W6" s="300"/>
      <c r="X6" s="300"/>
      <c r="Y6" s="300"/>
      <c r="Z6" s="300"/>
      <c r="AA6" s="300"/>
      <c r="AB6" s="300"/>
      <c r="AC6" s="300"/>
      <c r="AD6" s="300"/>
      <c r="AE6" s="300"/>
      <c r="AF6" s="300"/>
      <c r="AG6" s="300"/>
      <c r="AH6" s="300"/>
    </row>
    <row r="7" spans="1:34" ht="29" x14ac:dyDescent="0.35">
      <c r="A7" s="168">
        <f>D14*F7</f>
        <v>0</v>
      </c>
      <c r="B7" s="30" t="str">
        <f>IF($A$51&gt;0,A7/$A$51,"%")</f>
        <v>%</v>
      </c>
      <c r="C7" s="52" t="s">
        <v>203</v>
      </c>
      <c r="D7" s="38"/>
      <c r="E7" s="31"/>
      <c r="F7" s="193">
        <f>IF(ISBLANK(H7),I7,H7)</f>
        <v>50</v>
      </c>
      <c r="G7" s="329" t="s">
        <v>66</v>
      </c>
      <c r="H7" s="330"/>
      <c r="I7" s="193">
        <v>50</v>
      </c>
      <c r="J7" s="276"/>
      <c r="K7" s="337"/>
      <c r="L7" s="300"/>
      <c r="M7" s="300"/>
      <c r="N7" s="300"/>
      <c r="O7" s="300"/>
      <c r="P7" s="300"/>
      <c r="Q7" s="300"/>
      <c r="R7" s="300"/>
      <c r="S7" s="300"/>
      <c r="T7" s="300"/>
      <c r="U7" s="300"/>
      <c r="V7" s="300"/>
      <c r="W7" s="300"/>
      <c r="X7" s="300"/>
      <c r="Y7" s="300"/>
      <c r="Z7" s="300"/>
      <c r="AA7" s="300"/>
      <c r="AB7" s="300"/>
      <c r="AC7" s="300"/>
      <c r="AD7" s="300"/>
      <c r="AE7" s="300"/>
      <c r="AF7" s="300"/>
      <c r="AG7" s="300"/>
      <c r="AH7" s="300"/>
    </row>
    <row r="8" spans="1:34" x14ac:dyDescent="0.35">
      <c r="A8" s="29"/>
      <c r="B8" s="43"/>
      <c r="C8" s="55" t="s">
        <v>171</v>
      </c>
      <c r="D8" s="225"/>
      <c r="E8" s="39" t="s">
        <v>35</v>
      </c>
      <c r="F8" s="170"/>
      <c r="G8" s="39"/>
      <c r="H8" s="175"/>
      <c r="I8" s="170"/>
      <c r="J8" s="276"/>
      <c r="K8" s="337"/>
      <c r="L8" s="300"/>
      <c r="M8" s="300"/>
      <c r="N8" s="300"/>
      <c r="O8" s="300"/>
      <c r="P8" s="300"/>
      <c r="Q8" s="300"/>
      <c r="R8" s="300"/>
      <c r="S8" s="300"/>
      <c r="T8" s="300"/>
      <c r="U8" s="300"/>
      <c r="V8" s="300"/>
      <c r="W8" s="300"/>
      <c r="X8" s="300"/>
      <c r="Y8" s="300"/>
      <c r="Z8" s="300"/>
      <c r="AA8" s="300"/>
      <c r="AB8" s="300"/>
      <c r="AC8" s="300"/>
      <c r="AD8" s="300"/>
      <c r="AE8" s="300"/>
      <c r="AF8" s="300"/>
      <c r="AG8" s="300"/>
      <c r="AH8" s="300"/>
    </row>
    <row r="9" spans="1:34" x14ac:dyDescent="0.35">
      <c r="A9" s="37"/>
      <c r="B9" s="43"/>
      <c r="C9" s="55" t="s">
        <v>172</v>
      </c>
      <c r="D9" s="225"/>
      <c r="E9" s="214" t="s">
        <v>173</v>
      </c>
      <c r="F9" s="170"/>
      <c r="G9" s="214"/>
      <c r="H9" s="175"/>
      <c r="I9" s="170"/>
      <c r="J9" s="276"/>
      <c r="K9" s="337"/>
      <c r="L9" s="300"/>
      <c r="M9" s="300"/>
      <c r="N9" s="300"/>
      <c r="O9" s="300"/>
      <c r="P9" s="300"/>
      <c r="Q9" s="300"/>
      <c r="R9" s="300"/>
      <c r="S9" s="300"/>
      <c r="T9" s="300"/>
      <c r="U9" s="300"/>
      <c r="V9" s="300"/>
      <c r="W9" s="300"/>
      <c r="X9" s="300"/>
      <c r="Y9" s="300"/>
      <c r="Z9" s="300"/>
      <c r="AA9" s="300"/>
      <c r="AB9" s="300"/>
      <c r="AC9" s="300"/>
      <c r="AD9" s="300"/>
      <c r="AE9" s="300"/>
      <c r="AF9" s="300"/>
      <c r="AG9" s="300"/>
      <c r="AH9" s="300"/>
    </row>
    <row r="10" spans="1:34" ht="29" x14ac:dyDescent="0.35">
      <c r="A10" s="37"/>
      <c r="B10" s="43"/>
      <c r="C10" s="66" t="s">
        <v>174</v>
      </c>
      <c r="D10" s="225"/>
      <c r="E10" s="214"/>
      <c r="F10" s="170"/>
      <c r="G10" s="214"/>
      <c r="H10" s="175"/>
      <c r="I10" s="170"/>
      <c r="J10" s="276"/>
      <c r="K10" s="337"/>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row>
    <row r="11" spans="1:34" x14ac:dyDescent="0.35">
      <c r="A11" s="37"/>
      <c r="B11" s="43"/>
      <c r="C11" s="66" t="s">
        <v>175</v>
      </c>
      <c r="D11" s="225"/>
      <c r="E11" s="214" t="s">
        <v>173</v>
      </c>
      <c r="F11" s="170"/>
      <c r="G11" s="214"/>
      <c r="H11" s="175"/>
      <c r="I11" s="170"/>
      <c r="J11" s="276"/>
      <c r="K11" s="337"/>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row>
    <row r="12" spans="1:34" ht="29" x14ac:dyDescent="0.35">
      <c r="A12" s="37"/>
      <c r="B12" s="43"/>
      <c r="C12" s="55" t="s">
        <v>176</v>
      </c>
      <c r="D12" s="197">
        <f>(D9^2+(D10*D9)^2)^0.5*D11</f>
        <v>0</v>
      </c>
      <c r="E12" s="194" t="s">
        <v>177</v>
      </c>
      <c r="F12" s="170"/>
      <c r="G12" s="194"/>
      <c r="H12" s="175"/>
      <c r="I12" s="170"/>
      <c r="J12" s="276"/>
      <c r="K12" s="337"/>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row>
    <row r="13" spans="1:34" ht="29" x14ac:dyDescent="0.35">
      <c r="A13" s="37"/>
      <c r="B13" s="43"/>
      <c r="C13" s="66" t="s">
        <v>178</v>
      </c>
      <c r="D13" s="226"/>
      <c r="E13" s="192" t="s">
        <v>179</v>
      </c>
      <c r="F13" s="170"/>
      <c r="G13" s="194"/>
      <c r="H13" s="175"/>
      <c r="I13" s="170"/>
      <c r="J13" s="276"/>
      <c r="K13" s="337"/>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row>
    <row r="14" spans="1:34" ht="16.5" x14ac:dyDescent="0.35">
      <c r="A14" s="37"/>
      <c r="B14" s="43"/>
      <c r="C14" s="55" t="s">
        <v>180</v>
      </c>
      <c r="D14" s="197">
        <f>D8*5280*D12*D13/27</f>
        <v>0</v>
      </c>
      <c r="E14" s="194" t="s">
        <v>181</v>
      </c>
      <c r="F14" s="170"/>
      <c r="G14" s="194"/>
      <c r="H14" s="175"/>
      <c r="I14" s="170"/>
      <c r="J14" s="276"/>
      <c r="K14" s="337"/>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row>
    <row r="15" spans="1:34" ht="15" thickBot="1" x14ac:dyDescent="0.4">
      <c r="A15" s="328"/>
      <c r="B15" s="125"/>
      <c r="C15" s="67"/>
      <c r="D15" s="127"/>
      <c r="E15" s="127"/>
      <c r="F15" s="127"/>
      <c r="G15" s="73"/>
      <c r="H15" s="73"/>
      <c r="I15" s="73"/>
      <c r="J15" s="280"/>
      <c r="K15" s="338"/>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row>
    <row r="16" spans="1:34" ht="29" x14ac:dyDescent="0.35">
      <c r="A16" s="57"/>
      <c r="B16" s="58"/>
      <c r="C16" s="50" t="s">
        <v>204</v>
      </c>
      <c r="D16" s="150"/>
      <c r="E16" s="26"/>
      <c r="F16" s="106"/>
      <c r="G16" s="26"/>
      <c r="H16" s="26"/>
      <c r="I16" s="147"/>
      <c r="J16" s="274"/>
      <c r="K16" s="336"/>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row>
    <row r="17" spans="1:34" ht="16.5" x14ac:dyDescent="0.35">
      <c r="A17" s="29"/>
      <c r="B17" s="43"/>
      <c r="C17" s="76" t="s">
        <v>205</v>
      </c>
      <c r="D17" s="224"/>
      <c r="E17" s="31" t="s">
        <v>206</v>
      </c>
      <c r="F17" s="74">
        <f>D17*1000000*0.133681/24/3600</f>
        <v>0</v>
      </c>
      <c r="G17" s="31" t="s">
        <v>207</v>
      </c>
      <c r="H17" s="31"/>
      <c r="I17" s="36"/>
      <c r="J17" s="276" t="s">
        <v>208</v>
      </c>
      <c r="K17" s="337"/>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row>
    <row r="18" spans="1:34" x14ac:dyDescent="0.35">
      <c r="A18" s="29"/>
      <c r="B18" s="43"/>
      <c r="C18" s="72" t="s">
        <v>209</v>
      </c>
      <c r="D18" s="41"/>
      <c r="E18" s="31"/>
      <c r="F18" s="32"/>
      <c r="G18" s="31"/>
      <c r="H18" s="31"/>
      <c r="I18" s="36"/>
      <c r="J18" s="276"/>
      <c r="K18" s="337"/>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row>
    <row r="19" spans="1:34" x14ac:dyDescent="0.35">
      <c r="A19" s="29">
        <f>D19*F19*$D$17</f>
        <v>0</v>
      </c>
      <c r="B19" s="30" t="str">
        <f t="shared" ref="B19:B26" si="0">IF($A$51&gt;0,A19/$A$51,"%")</f>
        <v>%</v>
      </c>
      <c r="C19" s="108" t="s">
        <v>210</v>
      </c>
      <c r="D19" s="224">
        <f>$D$17</f>
        <v>0</v>
      </c>
      <c r="E19" s="31" t="s">
        <v>211</v>
      </c>
      <c r="F19" s="32">
        <v>100000</v>
      </c>
      <c r="G19" s="40" t="s">
        <v>212</v>
      </c>
      <c r="H19" s="228"/>
      <c r="I19" s="32">
        <f>700000</f>
        <v>700000</v>
      </c>
      <c r="J19" s="276" t="s">
        <v>213</v>
      </c>
      <c r="K19" s="337"/>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row>
    <row r="20" spans="1:34" x14ac:dyDescent="0.35">
      <c r="A20" s="29">
        <f t="shared" ref="A20:A26" si="1">D20*F20*$D$17</f>
        <v>0</v>
      </c>
      <c r="B20" s="30" t="str">
        <f t="shared" si="0"/>
        <v>%</v>
      </c>
      <c r="C20" s="215" t="s">
        <v>214</v>
      </c>
      <c r="D20" s="224">
        <f t="shared" ref="D20:D26" si="2">$D$17</f>
        <v>0</v>
      </c>
      <c r="E20" s="31" t="s">
        <v>211</v>
      </c>
      <c r="F20" s="32">
        <v>100000</v>
      </c>
      <c r="G20" s="40" t="s">
        <v>212</v>
      </c>
      <c r="H20" s="228"/>
      <c r="I20" s="32">
        <f>700000</f>
        <v>700000</v>
      </c>
      <c r="J20" s="276"/>
      <c r="K20" s="337"/>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row>
    <row r="21" spans="1:34" x14ac:dyDescent="0.35">
      <c r="A21" s="29">
        <f t="shared" si="1"/>
        <v>0</v>
      </c>
      <c r="B21" s="30" t="str">
        <f t="shared" si="0"/>
        <v>%</v>
      </c>
      <c r="C21" s="215" t="s">
        <v>215</v>
      </c>
      <c r="D21" s="224">
        <f t="shared" si="2"/>
        <v>0</v>
      </c>
      <c r="E21" s="31" t="s">
        <v>211</v>
      </c>
      <c r="F21" s="32">
        <v>100000</v>
      </c>
      <c r="G21" s="40" t="s">
        <v>212</v>
      </c>
      <c r="H21" s="228"/>
      <c r="I21" s="32">
        <f>700000</f>
        <v>700000</v>
      </c>
      <c r="J21" s="276"/>
      <c r="K21" s="337"/>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00"/>
    </row>
    <row r="22" spans="1:34" x14ac:dyDescent="0.35">
      <c r="A22" s="29">
        <f t="shared" si="1"/>
        <v>0</v>
      </c>
      <c r="B22" s="30" t="str">
        <f t="shared" si="0"/>
        <v>%</v>
      </c>
      <c r="C22" s="108" t="s">
        <v>216</v>
      </c>
      <c r="D22" s="224">
        <f t="shared" si="2"/>
        <v>0</v>
      </c>
      <c r="E22" s="31" t="s">
        <v>211</v>
      </c>
      <c r="F22" s="32">
        <v>100000</v>
      </c>
      <c r="G22" s="40" t="s">
        <v>212</v>
      </c>
      <c r="H22" s="228"/>
      <c r="I22" s="32">
        <f>700000</f>
        <v>700000</v>
      </c>
      <c r="J22" s="276" t="s">
        <v>213</v>
      </c>
      <c r="K22" s="337"/>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row>
    <row r="23" spans="1:34" x14ac:dyDescent="0.35">
      <c r="A23" s="29">
        <f t="shared" si="1"/>
        <v>0</v>
      </c>
      <c r="B23" s="30" t="str">
        <f t="shared" si="0"/>
        <v>%</v>
      </c>
      <c r="C23" s="215" t="s">
        <v>214</v>
      </c>
      <c r="D23" s="224">
        <f t="shared" si="2"/>
        <v>0</v>
      </c>
      <c r="E23" s="31" t="s">
        <v>211</v>
      </c>
      <c r="F23" s="32">
        <v>100000</v>
      </c>
      <c r="G23" s="40" t="s">
        <v>212</v>
      </c>
      <c r="H23" s="228"/>
      <c r="I23" s="32">
        <f t="shared" ref="I23:I26" si="3">700000</f>
        <v>700000</v>
      </c>
      <c r="J23" s="276"/>
      <c r="K23" s="337"/>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row>
    <row r="24" spans="1:34" x14ac:dyDescent="0.35">
      <c r="A24" s="29">
        <f t="shared" si="1"/>
        <v>0</v>
      </c>
      <c r="B24" s="30" t="str">
        <f t="shared" si="0"/>
        <v>%</v>
      </c>
      <c r="C24" s="215" t="s">
        <v>215</v>
      </c>
      <c r="D24" s="224">
        <f t="shared" si="2"/>
        <v>0</v>
      </c>
      <c r="E24" s="31" t="s">
        <v>211</v>
      </c>
      <c r="F24" s="32">
        <v>100000</v>
      </c>
      <c r="G24" s="40" t="s">
        <v>212</v>
      </c>
      <c r="H24" s="228"/>
      <c r="I24" s="32">
        <f t="shared" si="3"/>
        <v>700000</v>
      </c>
      <c r="J24" s="276"/>
      <c r="K24" s="337"/>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row>
    <row r="25" spans="1:34" ht="29" x14ac:dyDescent="0.35">
      <c r="A25" s="29">
        <f t="shared" si="1"/>
        <v>0</v>
      </c>
      <c r="B25" s="30" t="str">
        <f t="shared" si="0"/>
        <v>%</v>
      </c>
      <c r="C25" s="108" t="s">
        <v>217</v>
      </c>
      <c r="D25" s="224">
        <f t="shared" si="2"/>
        <v>0</v>
      </c>
      <c r="E25" s="31" t="s">
        <v>211</v>
      </c>
      <c r="F25" s="32">
        <v>100000</v>
      </c>
      <c r="G25" s="40" t="s">
        <v>212</v>
      </c>
      <c r="H25" s="228"/>
      <c r="I25" s="32">
        <f t="shared" si="3"/>
        <v>700000</v>
      </c>
      <c r="J25" s="276" t="s">
        <v>213</v>
      </c>
      <c r="K25" s="337"/>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row>
    <row r="26" spans="1:34" ht="15" thickBot="1" x14ac:dyDescent="0.4">
      <c r="A26" s="109">
        <f t="shared" si="1"/>
        <v>0</v>
      </c>
      <c r="B26" s="116" t="str">
        <f t="shared" si="0"/>
        <v>%</v>
      </c>
      <c r="C26" s="220" t="s">
        <v>218</v>
      </c>
      <c r="D26" s="229">
        <f t="shared" si="2"/>
        <v>0</v>
      </c>
      <c r="E26" s="24" t="s">
        <v>211</v>
      </c>
      <c r="F26" s="119">
        <v>100000</v>
      </c>
      <c r="G26" s="120" t="s">
        <v>212</v>
      </c>
      <c r="H26" s="230"/>
      <c r="I26" s="119">
        <f t="shared" si="3"/>
        <v>700000</v>
      </c>
      <c r="J26" s="339" t="s">
        <v>219</v>
      </c>
      <c r="K26" s="34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row>
    <row r="27" spans="1:34" ht="29" x14ac:dyDescent="0.35">
      <c r="A27" s="57"/>
      <c r="B27" s="146"/>
      <c r="C27" s="221" t="s">
        <v>220</v>
      </c>
      <c r="D27" s="150"/>
      <c r="E27" s="147"/>
      <c r="F27" s="106">
        <f t="shared" ref="F27:F38" si="4">IF(ISBLANK(H27),I27,H27)</f>
        <v>0</v>
      </c>
      <c r="G27" s="151"/>
      <c r="H27" s="106"/>
      <c r="I27" s="106"/>
      <c r="J27" s="274"/>
      <c r="K27" s="336"/>
      <c r="L27" s="300"/>
      <c r="M27" s="300"/>
      <c r="N27" s="300"/>
      <c r="O27" s="300"/>
      <c r="P27" s="300"/>
      <c r="Q27" s="300"/>
      <c r="R27" s="300"/>
      <c r="S27" s="300"/>
      <c r="T27" s="300"/>
      <c r="U27" s="300"/>
      <c r="V27" s="300"/>
      <c r="W27" s="300"/>
      <c r="X27" s="300"/>
      <c r="Y27" s="300"/>
      <c r="Z27" s="300"/>
      <c r="AA27" s="300"/>
      <c r="AB27" s="300"/>
      <c r="AC27" s="300"/>
      <c r="AD27" s="300"/>
      <c r="AE27" s="300"/>
      <c r="AF27" s="300"/>
      <c r="AG27" s="300"/>
      <c r="AH27" s="300"/>
    </row>
    <row r="28" spans="1:34" x14ac:dyDescent="0.35">
      <c r="A28" s="29">
        <f t="shared" ref="A28:A31" si="5">D28*F28*$D$17</f>
        <v>0</v>
      </c>
      <c r="B28" s="30" t="str">
        <f>IF($A$51&gt;0,A28/$A$51,"%")</f>
        <v>%</v>
      </c>
      <c r="C28" s="108" t="s">
        <v>221</v>
      </c>
      <c r="D28" s="224">
        <f t="shared" ref="D28:D31" si="6">$D$17</f>
        <v>0</v>
      </c>
      <c r="E28" s="31" t="s">
        <v>211</v>
      </c>
      <c r="F28" s="32">
        <v>10000</v>
      </c>
      <c r="G28" s="40" t="s">
        <v>212</v>
      </c>
      <c r="H28" s="228"/>
      <c r="I28" s="32">
        <v>300000</v>
      </c>
      <c r="J28" s="276"/>
      <c r="K28" s="337"/>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row>
    <row r="29" spans="1:34" x14ac:dyDescent="0.35">
      <c r="A29" s="29">
        <f t="shared" si="5"/>
        <v>0</v>
      </c>
      <c r="B29" s="30" t="str">
        <f>IF($A$51&gt;0,A29/$A$51,"%")</f>
        <v>%</v>
      </c>
      <c r="C29" s="108" t="s">
        <v>216</v>
      </c>
      <c r="D29" s="224">
        <f t="shared" si="6"/>
        <v>0</v>
      </c>
      <c r="E29" s="31" t="s">
        <v>211</v>
      </c>
      <c r="F29" s="32">
        <v>10000</v>
      </c>
      <c r="G29" s="40" t="s">
        <v>212</v>
      </c>
      <c r="H29" s="228"/>
      <c r="I29" s="32">
        <v>300000</v>
      </c>
      <c r="J29" s="276"/>
      <c r="K29" s="337"/>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row>
    <row r="30" spans="1:34" ht="29" x14ac:dyDescent="0.35">
      <c r="A30" s="29">
        <f t="shared" si="5"/>
        <v>0</v>
      </c>
      <c r="B30" s="30" t="str">
        <f>IF($A$51&gt;0,A30/$A$51,"%")</f>
        <v>%</v>
      </c>
      <c r="C30" s="108" t="s">
        <v>217</v>
      </c>
      <c r="D30" s="224">
        <f t="shared" si="6"/>
        <v>0</v>
      </c>
      <c r="E30" s="31" t="s">
        <v>211</v>
      </c>
      <c r="F30" s="32">
        <v>10000</v>
      </c>
      <c r="G30" s="40" t="s">
        <v>212</v>
      </c>
      <c r="H30" s="228"/>
      <c r="I30" s="32">
        <v>300000</v>
      </c>
      <c r="J30" s="276"/>
      <c r="K30" s="337"/>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row>
    <row r="31" spans="1:34" ht="15" thickBot="1" x14ac:dyDescent="0.4">
      <c r="A31" s="109">
        <f t="shared" si="5"/>
        <v>0</v>
      </c>
      <c r="B31" s="116" t="str">
        <f>IF($A$51&gt;0,A31/$A$51,"%")</f>
        <v>%</v>
      </c>
      <c r="C31" s="220" t="s">
        <v>218</v>
      </c>
      <c r="D31" s="229">
        <f t="shared" si="6"/>
        <v>0</v>
      </c>
      <c r="E31" s="24" t="s">
        <v>211</v>
      </c>
      <c r="F31" s="119">
        <v>10000</v>
      </c>
      <c r="G31" s="120" t="s">
        <v>212</v>
      </c>
      <c r="H31" s="230"/>
      <c r="I31" s="119">
        <v>300000</v>
      </c>
      <c r="J31" s="339"/>
      <c r="K31" s="34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row>
    <row r="32" spans="1:34" ht="29" x14ac:dyDescent="0.35">
      <c r="A32" s="57"/>
      <c r="B32" s="146"/>
      <c r="C32" s="221" t="s">
        <v>222</v>
      </c>
      <c r="D32" s="150"/>
      <c r="E32" s="147"/>
      <c r="F32" s="106"/>
      <c r="G32" s="151"/>
      <c r="H32" s="106"/>
      <c r="I32" s="106"/>
      <c r="J32" s="274"/>
      <c r="K32" s="336"/>
      <c r="L32" s="300"/>
      <c r="M32" s="300"/>
      <c r="N32" s="300"/>
      <c r="O32" s="300"/>
      <c r="P32" s="300"/>
      <c r="Q32" s="300"/>
      <c r="R32" s="300"/>
      <c r="S32" s="300"/>
      <c r="T32" s="300"/>
      <c r="U32" s="300"/>
      <c r="V32" s="300"/>
      <c r="W32" s="300"/>
      <c r="X32" s="300"/>
      <c r="Y32" s="300"/>
      <c r="Z32" s="300"/>
      <c r="AA32" s="300"/>
      <c r="AB32" s="300"/>
      <c r="AC32" s="300"/>
      <c r="AD32" s="300"/>
      <c r="AE32" s="300"/>
      <c r="AF32" s="300"/>
      <c r="AG32" s="300"/>
      <c r="AH32" s="300"/>
    </row>
    <row r="33" spans="1:34" ht="16.5" x14ac:dyDescent="0.35">
      <c r="A33" s="29"/>
      <c r="B33" s="30"/>
      <c r="C33" s="107" t="s">
        <v>223</v>
      </c>
      <c r="D33" s="224"/>
      <c r="E33" s="31" t="s">
        <v>206</v>
      </c>
      <c r="F33" s="74" t="str">
        <f>IF(D33&gt;0,D33*1000000*0.133681/24/3600," ")</f>
        <v xml:space="preserve"> </v>
      </c>
      <c r="G33" s="31" t="s">
        <v>207</v>
      </c>
      <c r="H33" s="32"/>
      <c r="I33" s="32"/>
      <c r="J33" s="276" t="s">
        <v>224</v>
      </c>
      <c r="K33" s="337"/>
      <c r="L33" s="300"/>
      <c r="M33" s="300"/>
      <c r="N33" s="300"/>
      <c r="O33" s="300"/>
      <c r="P33" s="300"/>
      <c r="Q33" s="300"/>
      <c r="R33" s="300"/>
      <c r="S33" s="300"/>
      <c r="T33" s="300"/>
      <c r="U33" s="300"/>
      <c r="V33" s="300"/>
      <c r="W33" s="300"/>
      <c r="X33" s="300"/>
      <c r="Y33" s="300"/>
      <c r="Z33" s="300"/>
      <c r="AA33" s="300"/>
      <c r="AB33" s="300"/>
      <c r="AC33" s="300"/>
      <c r="AD33" s="300"/>
      <c r="AE33" s="300"/>
      <c r="AF33" s="300"/>
      <c r="AG33" s="300"/>
      <c r="AH33" s="300"/>
    </row>
    <row r="34" spans="1:34" x14ac:dyDescent="0.35">
      <c r="A34" s="29"/>
      <c r="B34" s="30"/>
      <c r="C34" s="107" t="s">
        <v>225</v>
      </c>
      <c r="D34" s="224"/>
      <c r="E34" s="31" t="s">
        <v>226</v>
      </c>
      <c r="F34" s="32"/>
      <c r="G34" s="42"/>
      <c r="H34" s="32"/>
      <c r="I34" s="32"/>
      <c r="J34" s="276"/>
      <c r="K34" s="337"/>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0"/>
    </row>
    <row r="35" spans="1:34" x14ac:dyDescent="0.35">
      <c r="A35" s="29">
        <f>D35*F35*365*$D$34</f>
        <v>0</v>
      </c>
      <c r="B35" s="30" t="str">
        <f>IF($A$51&gt;0,A35/$A$51,"%")</f>
        <v>%</v>
      </c>
      <c r="C35" s="108" t="s">
        <v>221</v>
      </c>
      <c r="D35" s="224"/>
      <c r="E35" s="31" t="s">
        <v>211</v>
      </c>
      <c r="F35" s="32">
        <f t="shared" si="4"/>
        <v>100</v>
      </c>
      <c r="G35" s="40" t="s">
        <v>212</v>
      </c>
      <c r="H35" s="228"/>
      <c r="I35" s="32">
        <v>100</v>
      </c>
      <c r="J35" s="276"/>
      <c r="K35" s="337"/>
      <c r="L35" s="300"/>
      <c r="M35" s="300"/>
      <c r="N35" s="300"/>
      <c r="O35" s="300"/>
      <c r="P35" s="300"/>
      <c r="Q35" s="300"/>
      <c r="R35" s="300"/>
      <c r="S35" s="300"/>
      <c r="T35" s="300"/>
      <c r="U35" s="300"/>
      <c r="V35" s="300"/>
      <c r="W35" s="300"/>
      <c r="X35" s="300"/>
      <c r="Y35" s="300"/>
      <c r="Z35" s="300"/>
      <c r="AA35" s="300"/>
      <c r="AB35" s="300"/>
      <c r="AC35" s="300"/>
      <c r="AD35" s="300"/>
      <c r="AE35" s="300"/>
      <c r="AF35" s="300"/>
      <c r="AG35" s="300"/>
      <c r="AH35" s="300"/>
    </row>
    <row r="36" spans="1:34" x14ac:dyDescent="0.35">
      <c r="A36" s="29">
        <f t="shared" ref="A36:A38" si="7">D36*F36*365*$D$34</f>
        <v>0</v>
      </c>
      <c r="B36" s="30" t="str">
        <f>IF($A$51&gt;0,A36/$A$51,"%")</f>
        <v>%</v>
      </c>
      <c r="C36" s="108" t="s">
        <v>227</v>
      </c>
      <c r="D36" s="224"/>
      <c r="E36" s="31" t="s">
        <v>211</v>
      </c>
      <c r="F36" s="32">
        <f t="shared" si="4"/>
        <v>100</v>
      </c>
      <c r="G36" s="40" t="s">
        <v>212</v>
      </c>
      <c r="H36" s="228"/>
      <c r="I36" s="32">
        <v>100</v>
      </c>
      <c r="J36" s="276"/>
      <c r="K36" s="337"/>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row>
    <row r="37" spans="1:34" x14ac:dyDescent="0.35">
      <c r="A37" s="29">
        <f t="shared" si="7"/>
        <v>0</v>
      </c>
      <c r="B37" s="30" t="str">
        <f>IF($A$51&gt;0,A37/$A$51,"%")</f>
        <v>%</v>
      </c>
      <c r="C37" s="108" t="s">
        <v>228</v>
      </c>
      <c r="D37" s="224"/>
      <c r="E37" s="31" t="s">
        <v>211</v>
      </c>
      <c r="F37" s="32">
        <f t="shared" si="4"/>
        <v>100</v>
      </c>
      <c r="G37" s="40" t="s">
        <v>212</v>
      </c>
      <c r="H37" s="228"/>
      <c r="I37" s="32">
        <v>100</v>
      </c>
      <c r="J37" s="276"/>
      <c r="K37" s="337"/>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row>
    <row r="38" spans="1:34" ht="15" thickBot="1" x14ac:dyDescent="0.4">
      <c r="A38" s="109">
        <f t="shared" si="7"/>
        <v>0</v>
      </c>
      <c r="B38" s="116" t="str">
        <f>IF($A$51&gt;0,A38/$A$51,"%")</f>
        <v>%</v>
      </c>
      <c r="C38" s="220" t="s">
        <v>229</v>
      </c>
      <c r="D38" s="229"/>
      <c r="E38" s="24" t="s">
        <v>211</v>
      </c>
      <c r="F38" s="119">
        <f t="shared" si="4"/>
        <v>100</v>
      </c>
      <c r="G38" s="120" t="s">
        <v>212</v>
      </c>
      <c r="H38" s="230"/>
      <c r="I38" s="119">
        <v>100</v>
      </c>
      <c r="J38" s="339"/>
      <c r="K38" s="34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row>
    <row r="39" spans="1:34" ht="15" thickBot="1" x14ac:dyDescent="0.4">
      <c r="A39" s="62"/>
      <c r="B39" s="121"/>
      <c r="C39" s="70"/>
      <c r="D39" s="68"/>
      <c r="E39" s="69"/>
      <c r="F39" s="122"/>
      <c r="G39" s="148"/>
      <c r="H39" s="122"/>
      <c r="I39" s="122"/>
      <c r="J39" s="341"/>
      <c r="K39" s="342"/>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row>
    <row r="40" spans="1:34" x14ac:dyDescent="0.35">
      <c r="A40" s="57"/>
      <c r="B40" s="58"/>
      <c r="C40" s="50" t="s">
        <v>230</v>
      </c>
      <c r="D40" s="59"/>
      <c r="E40" s="26"/>
      <c r="F40" s="106"/>
      <c r="G40" s="26"/>
      <c r="H40" s="60"/>
      <c r="I40" s="106"/>
      <c r="J40" s="274"/>
      <c r="K40" s="336"/>
      <c r="L40" s="300"/>
      <c r="M40" s="300"/>
      <c r="N40" s="300"/>
      <c r="O40" s="300"/>
      <c r="P40" s="300"/>
      <c r="Q40" s="300"/>
      <c r="R40" s="300"/>
      <c r="S40" s="300"/>
      <c r="T40" s="300"/>
      <c r="U40" s="300"/>
      <c r="V40" s="300"/>
      <c r="W40" s="300"/>
      <c r="X40" s="300"/>
      <c r="Y40" s="300"/>
      <c r="Z40" s="300"/>
      <c r="AA40" s="300"/>
      <c r="AB40" s="300"/>
      <c r="AC40" s="300"/>
      <c r="AD40" s="300"/>
      <c r="AE40" s="300"/>
      <c r="AF40" s="300"/>
      <c r="AG40" s="300"/>
      <c r="AH40" s="300"/>
    </row>
    <row r="41" spans="1:34" x14ac:dyDescent="0.35">
      <c r="A41" s="56">
        <f>D41*F41</f>
        <v>0</v>
      </c>
      <c r="B41" s="30" t="str">
        <f t="shared" ref="B41:B49" si="8">IF($A$51&gt;0,A41/$A$51,"%")</f>
        <v>%</v>
      </c>
      <c r="C41" s="75" t="s">
        <v>231</v>
      </c>
      <c r="D41" s="224"/>
      <c r="E41" s="36" t="s">
        <v>127</v>
      </c>
      <c r="F41" s="32">
        <f t="shared" ref="F41:F49" si="9">IF(ISBLANK(H41),I41,H41)</f>
        <v>100000</v>
      </c>
      <c r="G41" s="40" t="s">
        <v>128</v>
      </c>
      <c r="H41" s="228"/>
      <c r="I41" s="32">
        <v>100000</v>
      </c>
      <c r="J41" s="276" t="s">
        <v>232</v>
      </c>
      <c r="K41" s="337"/>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1:34" x14ac:dyDescent="0.35">
      <c r="A42" s="56">
        <f t="shared" ref="A42" si="10">D42*F42</f>
        <v>0</v>
      </c>
      <c r="B42" s="30" t="str">
        <f t="shared" si="8"/>
        <v>%</v>
      </c>
      <c r="C42" s="75" t="s">
        <v>233</v>
      </c>
      <c r="D42" s="224"/>
      <c r="E42" s="36" t="s">
        <v>48</v>
      </c>
      <c r="F42" s="32">
        <f t="shared" si="9"/>
        <v>100</v>
      </c>
      <c r="G42" s="40" t="s">
        <v>82</v>
      </c>
      <c r="H42" s="228"/>
      <c r="I42" s="32">
        <v>100</v>
      </c>
      <c r="J42" s="276" t="s">
        <v>234</v>
      </c>
      <c r="K42" s="286" t="s">
        <v>235</v>
      </c>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1:34" x14ac:dyDescent="0.35">
      <c r="A43" s="56">
        <f t="shared" ref="A43:A45" si="11">D43*F43</f>
        <v>0</v>
      </c>
      <c r="B43" s="30" t="str">
        <f t="shared" ref="B43:B45" si="12">IF($A$51&gt;0,A43/$A$51,"%")</f>
        <v>%</v>
      </c>
      <c r="C43" s="75" t="s">
        <v>236</v>
      </c>
      <c r="D43" s="224"/>
      <c r="E43" s="36" t="s">
        <v>237</v>
      </c>
      <c r="F43" s="32">
        <f t="shared" ref="F43:F45" si="13">IF(ISBLANK(H43),I43,H43)</f>
        <v>100000</v>
      </c>
      <c r="G43" s="40" t="s">
        <v>100</v>
      </c>
      <c r="H43" s="228"/>
      <c r="I43" s="32">
        <v>100000</v>
      </c>
      <c r="J43" s="276" t="s">
        <v>232</v>
      </c>
      <c r="K43" s="337"/>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1:34" x14ac:dyDescent="0.35">
      <c r="A44" s="56">
        <f t="shared" si="11"/>
        <v>0</v>
      </c>
      <c r="B44" s="30" t="str">
        <f t="shared" si="12"/>
        <v>%</v>
      </c>
      <c r="C44" s="75" t="s">
        <v>238</v>
      </c>
      <c r="D44" s="224"/>
      <c r="E44" s="36" t="s">
        <v>239</v>
      </c>
      <c r="F44" s="32">
        <f t="shared" si="13"/>
        <v>2000</v>
      </c>
      <c r="G44" s="40" t="s">
        <v>240</v>
      </c>
      <c r="H44" s="228"/>
      <c r="I44" s="32">
        <v>2000</v>
      </c>
      <c r="J44" s="276" t="s">
        <v>241</v>
      </c>
      <c r="K44" s="277" t="s">
        <v>242</v>
      </c>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row>
    <row r="45" spans="1:34" x14ac:dyDescent="0.35">
      <c r="A45" s="56">
        <f t="shared" si="11"/>
        <v>0</v>
      </c>
      <c r="B45" s="30" t="str">
        <f t="shared" si="12"/>
        <v>%</v>
      </c>
      <c r="C45" s="75" t="s">
        <v>243</v>
      </c>
      <c r="D45" s="224"/>
      <c r="E45" s="36" t="s">
        <v>127</v>
      </c>
      <c r="F45" s="32">
        <f t="shared" si="13"/>
        <v>100000</v>
      </c>
      <c r="G45" s="40" t="s">
        <v>128</v>
      </c>
      <c r="H45" s="228"/>
      <c r="I45" s="32">
        <v>100000</v>
      </c>
      <c r="J45" s="276" t="s">
        <v>232</v>
      </c>
      <c r="K45" s="337"/>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row>
    <row r="46" spans="1:34" ht="16.5" x14ac:dyDescent="0.35">
      <c r="A46" s="56">
        <f>D46*F46</f>
        <v>0</v>
      </c>
      <c r="B46" s="30" t="str">
        <f t="shared" si="8"/>
        <v>%</v>
      </c>
      <c r="C46" s="75" t="s">
        <v>244</v>
      </c>
      <c r="D46" s="224"/>
      <c r="E46" s="36" t="s">
        <v>64</v>
      </c>
      <c r="F46" s="32">
        <f t="shared" si="9"/>
        <v>10</v>
      </c>
      <c r="G46" s="31" t="s">
        <v>66</v>
      </c>
      <c r="H46" s="228"/>
      <c r="I46" s="32">
        <v>10</v>
      </c>
      <c r="J46" s="276"/>
      <c r="K46" s="337"/>
      <c r="L46" s="300"/>
      <c r="M46" s="300"/>
      <c r="N46" s="300"/>
      <c r="O46" s="300"/>
      <c r="P46" s="300"/>
      <c r="Q46" s="300"/>
      <c r="R46" s="300"/>
      <c r="S46" s="300"/>
      <c r="T46" s="300"/>
      <c r="U46" s="300"/>
      <c r="V46" s="300"/>
      <c r="W46" s="300"/>
      <c r="X46" s="300"/>
      <c r="Y46" s="300"/>
      <c r="Z46" s="300"/>
      <c r="AA46" s="300"/>
      <c r="AB46" s="300"/>
      <c r="AC46" s="300"/>
      <c r="AD46" s="300"/>
      <c r="AE46" s="300"/>
      <c r="AF46" s="300"/>
      <c r="AG46" s="300"/>
      <c r="AH46" s="300"/>
    </row>
    <row r="47" spans="1:34" ht="16.5" x14ac:dyDescent="0.35">
      <c r="A47" s="331">
        <f>D47*F47</f>
        <v>0</v>
      </c>
      <c r="B47" s="65" t="str">
        <f t="shared" si="8"/>
        <v>%</v>
      </c>
      <c r="C47" s="67" t="s">
        <v>245</v>
      </c>
      <c r="D47" s="260"/>
      <c r="E47" s="127" t="s">
        <v>64</v>
      </c>
      <c r="F47" s="61">
        <f t="shared" si="9"/>
        <v>10</v>
      </c>
      <c r="G47" s="64" t="s">
        <v>66</v>
      </c>
      <c r="H47" s="263"/>
      <c r="I47" s="61">
        <v>10</v>
      </c>
      <c r="J47" s="271"/>
      <c r="K47" s="338"/>
      <c r="L47" s="300"/>
      <c r="M47" s="300"/>
      <c r="N47" s="300"/>
      <c r="O47" s="300"/>
      <c r="P47" s="300"/>
      <c r="Q47" s="300"/>
      <c r="R47" s="300"/>
      <c r="S47" s="300"/>
      <c r="T47" s="300"/>
      <c r="U47" s="300"/>
      <c r="V47" s="300"/>
      <c r="W47" s="300"/>
      <c r="X47" s="300"/>
      <c r="Y47" s="300"/>
      <c r="Z47" s="300"/>
      <c r="AA47" s="300"/>
      <c r="AB47" s="300"/>
      <c r="AC47" s="300"/>
      <c r="AD47" s="300"/>
      <c r="AE47" s="300"/>
      <c r="AF47" s="300"/>
      <c r="AG47" s="300"/>
      <c r="AH47" s="300"/>
    </row>
    <row r="48" spans="1:34" ht="15" thickBot="1" x14ac:dyDescent="0.4">
      <c r="A48" s="222"/>
      <c r="B48" s="116"/>
      <c r="C48" s="144"/>
      <c r="D48" s="118"/>
      <c r="E48" s="139"/>
      <c r="F48" s="119"/>
      <c r="G48" s="24"/>
      <c r="H48" s="119"/>
      <c r="I48" s="119"/>
      <c r="J48" s="339"/>
      <c r="K48" s="34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row>
    <row r="49" spans="1:34" x14ac:dyDescent="0.35">
      <c r="A49" s="242">
        <f>D49*F49</f>
        <v>0</v>
      </c>
      <c r="B49" s="332" t="str">
        <f t="shared" si="8"/>
        <v>%</v>
      </c>
      <c r="C49" s="333" t="s">
        <v>246</v>
      </c>
      <c r="D49" s="261"/>
      <c r="E49" s="334" t="s">
        <v>247</v>
      </c>
      <c r="F49" s="246">
        <f t="shared" si="9"/>
        <v>100000</v>
      </c>
      <c r="G49" s="334" t="s">
        <v>248</v>
      </c>
      <c r="H49" s="335"/>
      <c r="I49" s="246">
        <v>100000</v>
      </c>
      <c r="J49" s="343"/>
      <c r="K49" s="344"/>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row>
    <row r="50" spans="1:34" ht="15" thickBot="1" x14ac:dyDescent="0.4">
      <c r="A50" s="130"/>
      <c r="B50" s="24"/>
      <c r="C50" s="131"/>
      <c r="D50" s="24"/>
      <c r="E50" s="24"/>
      <c r="F50" s="24"/>
      <c r="G50" s="24"/>
      <c r="H50" s="24"/>
      <c r="I50" s="139"/>
      <c r="J50" s="339"/>
      <c r="K50" s="34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row>
    <row r="51" spans="1:34" x14ac:dyDescent="0.35">
      <c r="A51" s="216">
        <f>SUM(A5:A49)</f>
        <v>0</v>
      </c>
      <c r="B51" s="217">
        <f>SUM(B5:B49)</f>
        <v>0</v>
      </c>
      <c r="C51" s="159" t="s">
        <v>14</v>
      </c>
      <c r="D51" s="160"/>
      <c r="E51" s="161"/>
      <c r="F51" s="162"/>
      <c r="G51" s="161"/>
      <c r="H51" s="161"/>
      <c r="I51" s="161"/>
      <c r="J51" s="274"/>
      <c r="K51" s="336"/>
      <c r="L51" s="300"/>
      <c r="M51" s="300"/>
      <c r="N51" s="300"/>
      <c r="O51" s="300"/>
      <c r="P51" s="300"/>
      <c r="Q51" s="300"/>
      <c r="R51" s="300"/>
      <c r="S51" s="300"/>
      <c r="T51" s="300"/>
      <c r="U51" s="300"/>
      <c r="V51" s="300"/>
      <c r="W51" s="300"/>
      <c r="X51" s="300"/>
      <c r="Y51" s="300"/>
      <c r="Z51" s="300"/>
      <c r="AA51" s="300"/>
      <c r="AB51" s="300"/>
      <c r="AC51" s="300"/>
      <c r="AD51" s="300"/>
      <c r="AE51" s="300"/>
      <c r="AF51" s="300"/>
      <c r="AG51" s="300"/>
      <c r="AH51" s="300"/>
    </row>
    <row r="52" spans="1:34" x14ac:dyDescent="0.35">
      <c r="A52" s="29">
        <f>(A51)*F52</f>
        <v>0</v>
      </c>
      <c r="B52" s="43"/>
      <c r="C52" s="22" t="s">
        <v>132</v>
      </c>
      <c r="D52" s="2"/>
      <c r="E52" s="31"/>
      <c r="F52" s="78">
        <f t="shared" ref="F52:F56" si="14">IF(ISBLANK(H52),I52,H52)</f>
        <v>0.05</v>
      </c>
      <c r="G52" s="31" t="s">
        <v>133</v>
      </c>
      <c r="H52" s="231"/>
      <c r="I52" s="77">
        <v>0.05</v>
      </c>
      <c r="J52" s="276"/>
      <c r="K52" s="337"/>
      <c r="L52" s="300"/>
      <c r="M52" s="300"/>
      <c r="N52" s="300"/>
      <c r="O52" s="300"/>
      <c r="P52" s="300"/>
      <c r="Q52" s="300"/>
      <c r="R52" s="300"/>
      <c r="S52" s="300"/>
      <c r="T52" s="300"/>
      <c r="U52" s="300"/>
      <c r="V52" s="300"/>
      <c r="W52" s="300"/>
      <c r="X52" s="300"/>
      <c r="Y52" s="300"/>
      <c r="Z52" s="300"/>
      <c r="AA52" s="300"/>
      <c r="AB52" s="300"/>
      <c r="AC52" s="300"/>
      <c r="AD52" s="300"/>
      <c r="AE52" s="300"/>
      <c r="AF52" s="300"/>
      <c r="AG52" s="300"/>
      <c r="AH52" s="300"/>
    </row>
    <row r="53" spans="1:34" x14ac:dyDescent="0.35">
      <c r="A53" s="29">
        <f>SUM(A51:A52)*F53</f>
        <v>0</v>
      </c>
      <c r="B53" s="43"/>
      <c r="C53" s="22" t="s">
        <v>134</v>
      </c>
      <c r="D53" s="2"/>
      <c r="E53" s="31"/>
      <c r="F53" s="78">
        <f t="shared" si="14"/>
        <v>0.3</v>
      </c>
      <c r="G53" s="31" t="s">
        <v>133</v>
      </c>
      <c r="H53" s="231"/>
      <c r="I53" s="77">
        <v>0.3</v>
      </c>
      <c r="J53" s="276"/>
      <c r="K53" s="337"/>
      <c r="L53" s="300"/>
      <c r="M53" s="300"/>
      <c r="N53" s="300"/>
      <c r="O53" s="300"/>
      <c r="P53" s="300"/>
      <c r="Q53" s="300"/>
      <c r="R53" s="300"/>
      <c r="S53" s="300"/>
      <c r="T53" s="300"/>
      <c r="U53" s="300"/>
      <c r="V53" s="300"/>
      <c r="W53" s="300"/>
      <c r="X53" s="300"/>
      <c r="Y53" s="300"/>
      <c r="Z53" s="300"/>
      <c r="AA53" s="300"/>
      <c r="AB53" s="300"/>
      <c r="AC53" s="300"/>
      <c r="AD53" s="300"/>
      <c r="AE53" s="300"/>
      <c r="AF53" s="300"/>
      <c r="AG53" s="300"/>
      <c r="AH53" s="300"/>
    </row>
    <row r="54" spans="1:34" x14ac:dyDescent="0.35">
      <c r="A54" s="29">
        <f>SUM(A51:A52)*F54</f>
        <v>0</v>
      </c>
      <c r="B54" s="43"/>
      <c r="C54" s="22" t="s">
        <v>135</v>
      </c>
      <c r="D54" s="2"/>
      <c r="E54" s="31"/>
      <c r="F54" s="78">
        <f t="shared" si="14"/>
        <v>0.05</v>
      </c>
      <c r="G54" s="31" t="s">
        <v>133</v>
      </c>
      <c r="H54" s="231"/>
      <c r="I54" s="77">
        <v>0.05</v>
      </c>
      <c r="J54" s="276"/>
      <c r="K54" s="337"/>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row>
    <row r="55" spans="1:34" x14ac:dyDescent="0.35">
      <c r="A55" s="29">
        <f>SUM(A51:A54)*F55</f>
        <v>0</v>
      </c>
      <c r="B55" s="31"/>
      <c r="C55" s="53" t="s">
        <v>136</v>
      </c>
      <c r="D55" s="2"/>
      <c r="E55" s="31"/>
      <c r="F55" s="78">
        <f t="shared" si="14"/>
        <v>0.15</v>
      </c>
      <c r="G55" s="31" t="s">
        <v>133</v>
      </c>
      <c r="H55" s="231"/>
      <c r="I55" s="77">
        <v>0.15</v>
      </c>
      <c r="J55" s="276"/>
      <c r="K55" s="337"/>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row>
    <row r="56" spans="1:34" ht="15" thickBot="1" x14ac:dyDescent="0.4">
      <c r="A56" s="109">
        <f>SUM(A51:A55)*F56</f>
        <v>0</v>
      </c>
      <c r="B56" s="110"/>
      <c r="C56" s="111" t="s">
        <v>138</v>
      </c>
      <c r="D56" s="112"/>
      <c r="E56" s="24"/>
      <c r="F56" s="113">
        <f t="shared" si="14"/>
        <v>0.2</v>
      </c>
      <c r="G56" s="24" t="s">
        <v>133</v>
      </c>
      <c r="H56" s="232"/>
      <c r="I56" s="140">
        <v>0.2</v>
      </c>
      <c r="J56" s="339"/>
      <c r="K56" s="34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row>
    <row r="57" spans="1:34" ht="15" thickBot="1" x14ac:dyDescent="0.4">
      <c r="A57" s="133">
        <f>SUM(A51:A56)</f>
        <v>0</v>
      </c>
      <c r="B57" s="134"/>
      <c r="C57" s="87" t="s">
        <v>139</v>
      </c>
      <c r="D57" s="223"/>
      <c r="E57" s="132"/>
      <c r="F57" s="132"/>
      <c r="G57" s="132"/>
      <c r="H57" s="132"/>
      <c r="I57" s="132"/>
      <c r="J57" s="345"/>
      <c r="K57" s="345"/>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row>
    <row r="58" spans="1:34" ht="15" thickBot="1" x14ac:dyDescent="0.4">
      <c r="A58" s="135">
        <f>A57*0.5</f>
        <v>0</v>
      </c>
      <c r="B58" s="136"/>
      <c r="C58" s="90" t="s">
        <v>21</v>
      </c>
      <c r="D58" s="48"/>
      <c r="E58" s="48"/>
      <c r="F58" s="48"/>
      <c r="G58" s="48"/>
      <c r="H58" s="48"/>
      <c r="I58" s="48"/>
      <c r="J58" s="319"/>
      <c r="K58" s="319"/>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row>
    <row r="59" spans="1:34" ht="15" thickBot="1" x14ac:dyDescent="0.4">
      <c r="A59" s="137">
        <f>A57*2</f>
        <v>0</v>
      </c>
      <c r="B59" s="138"/>
      <c r="C59" s="93" t="s">
        <v>22</v>
      </c>
      <c r="D59" s="48"/>
      <c r="E59" s="48"/>
      <c r="F59" s="48"/>
      <c r="G59" s="48"/>
      <c r="H59" s="48"/>
      <c r="I59" s="48"/>
      <c r="J59" s="319"/>
      <c r="K59" s="319"/>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row>
    <row r="60" spans="1:34" x14ac:dyDescent="0.35">
      <c r="A60" s="48"/>
      <c r="B60" s="48"/>
      <c r="C60" s="54"/>
      <c r="D60" s="48"/>
      <c r="E60" s="48"/>
      <c r="F60" s="48"/>
      <c r="G60" s="48"/>
      <c r="H60" s="48"/>
      <c r="I60" s="48"/>
      <c r="J60" s="319"/>
      <c r="K60" s="319"/>
      <c r="L60" s="300"/>
      <c r="M60" s="300"/>
      <c r="N60" s="300"/>
      <c r="O60" s="300"/>
      <c r="P60" s="300"/>
      <c r="Q60" s="300"/>
      <c r="R60" s="300"/>
      <c r="S60" s="300"/>
      <c r="T60" s="300"/>
      <c r="U60" s="300"/>
      <c r="V60" s="300"/>
      <c r="W60" s="300"/>
      <c r="X60" s="300"/>
      <c r="Y60" s="300"/>
      <c r="Z60" s="300"/>
      <c r="AA60" s="300"/>
      <c r="AB60" s="300"/>
      <c r="AC60" s="300"/>
      <c r="AD60" s="300"/>
      <c r="AE60" s="300"/>
      <c r="AF60" s="300"/>
      <c r="AG60" s="300"/>
      <c r="AH60" s="300"/>
    </row>
    <row r="61" spans="1:34" x14ac:dyDescent="0.35">
      <c r="A61" s="48"/>
      <c r="B61" s="48"/>
      <c r="C61" s="54"/>
      <c r="D61" s="48"/>
      <c r="E61" s="48"/>
      <c r="F61" s="48"/>
      <c r="G61" s="48"/>
      <c r="H61" s="48"/>
      <c r="I61" s="48"/>
      <c r="J61" s="319"/>
      <c r="K61" s="319"/>
      <c r="L61" s="300"/>
      <c r="M61" s="300"/>
      <c r="N61" s="300"/>
      <c r="O61" s="300"/>
      <c r="P61" s="300"/>
      <c r="Q61" s="300"/>
      <c r="R61" s="300"/>
      <c r="S61" s="300"/>
      <c r="T61" s="300"/>
      <c r="U61" s="300"/>
      <c r="V61" s="300"/>
      <c r="W61" s="300"/>
      <c r="X61" s="300"/>
      <c r="Y61" s="300"/>
      <c r="Z61" s="300"/>
      <c r="AA61" s="300"/>
      <c r="AB61" s="300"/>
      <c r="AC61" s="300"/>
      <c r="AD61" s="300"/>
      <c r="AE61" s="300"/>
      <c r="AF61" s="300"/>
      <c r="AG61" s="300"/>
      <c r="AH61" s="300"/>
    </row>
    <row r="62" spans="1:34" x14ac:dyDescent="0.35">
      <c r="A62" s="48"/>
      <c r="B62" s="48"/>
      <c r="C62" s="54"/>
      <c r="D62" s="48"/>
      <c r="E62" s="48"/>
      <c r="F62" s="48"/>
      <c r="G62" s="48"/>
      <c r="H62" s="48"/>
      <c r="I62" s="48"/>
      <c r="J62" s="319"/>
      <c r="K62" s="319"/>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row>
    <row r="63" spans="1:34" x14ac:dyDescent="0.35">
      <c r="A63" s="48"/>
      <c r="B63" s="48"/>
      <c r="C63" s="54"/>
      <c r="D63" s="48"/>
      <c r="E63" s="48"/>
      <c r="F63" s="48"/>
      <c r="G63" s="48"/>
      <c r="H63" s="48"/>
      <c r="I63" s="48"/>
      <c r="J63" s="319"/>
      <c r="K63" s="319"/>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row>
    <row r="64" spans="1:34" x14ac:dyDescent="0.35">
      <c r="A64" s="48"/>
      <c r="B64" s="48"/>
      <c r="C64" s="54"/>
      <c r="D64" s="48"/>
      <c r="E64" s="48"/>
      <c r="F64" s="48"/>
      <c r="G64" s="48"/>
      <c r="H64" s="48"/>
      <c r="I64" s="48"/>
      <c r="J64" s="319"/>
      <c r="K64" s="319"/>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row>
    <row r="65" spans="1:34" x14ac:dyDescent="0.35">
      <c r="A65" s="48"/>
      <c r="B65" s="48"/>
      <c r="C65" s="54"/>
      <c r="D65" s="48"/>
      <c r="E65" s="48"/>
      <c r="F65" s="48"/>
      <c r="G65" s="48"/>
      <c r="H65" s="48"/>
      <c r="I65" s="48"/>
      <c r="J65" s="319"/>
      <c r="K65" s="319"/>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row>
    <row r="66" spans="1:34" x14ac:dyDescent="0.35">
      <c r="A66" s="48"/>
      <c r="B66" s="48"/>
      <c r="C66" s="54"/>
      <c r="D66" s="48"/>
      <c r="E66" s="48"/>
      <c r="F66" s="48"/>
      <c r="G66" s="48"/>
      <c r="H66" s="48"/>
      <c r="I66" s="48"/>
      <c r="J66" s="319"/>
      <c r="K66" s="319"/>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row>
    <row r="67" spans="1:34" x14ac:dyDescent="0.35">
      <c r="A67" s="48"/>
      <c r="B67" s="48"/>
      <c r="C67" s="54"/>
      <c r="D67" s="48"/>
      <c r="E67" s="48"/>
      <c r="F67" s="48"/>
      <c r="G67" s="48"/>
      <c r="H67" s="48"/>
      <c r="I67" s="48"/>
      <c r="J67" s="319"/>
      <c r="K67" s="319"/>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row>
    <row r="68" spans="1:34" x14ac:dyDescent="0.35">
      <c r="A68" s="48"/>
      <c r="B68" s="48"/>
      <c r="C68" s="54"/>
      <c r="D68" s="48"/>
      <c r="E68" s="48"/>
      <c r="F68" s="48"/>
      <c r="G68" s="48"/>
      <c r="H68" s="48"/>
      <c r="I68" s="48"/>
      <c r="J68" s="319"/>
      <c r="K68" s="319"/>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row>
    <row r="69" spans="1:34" x14ac:dyDescent="0.35">
      <c r="A69" s="48"/>
      <c r="B69" s="48"/>
      <c r="C69" s="54"/>
      <c r="D69" s="48"/>
      <c r="E69" s="48"/>
      <c r="F69" s="48"/>
      <c r="G69" s="48"/>
      <c r="H69" s="48"/>
      <c r="I69" s="48"/>
      <c r="J69" s="319"/>
      <c r="K69" s="319"/>
      <c r="L69" s="300"/>
      <c r="M69" s="300"/>
      <c r="N69" s="300"/>
      <c r="O69" s="300"/>
      <c r="P69" s="300"/>
      <c r="Q69" s="300"/>
      <c r="R69" s="300"/>
      <c r="S69" s="300"/>
      <c r="T69" s="300"/>
      <c r="U69" s="300"/>
      <c r="V69" s="300"/>
      <c r="W69" s="300"/>
      <c r="X69" s="300"/>
      <c r="Y69" s="300"/>
      <c r="Z69" s="300"/>
      <c r="AA69" s="300"/>
      <c r="AB69" s="300"/>
      <c r="AC69" s="300"/>
      <c r="AD69" s="300"/>
      <c r="AE69" s="300"/>
      <c r="AF69" s="300"/>
      <c r="AG69" s="300"/>
      <c r="AH69" s="300"/>
    </row>
    <row r="70" spans="1:34" x14ac:dyDescent="0.35">
      <c r="A70" s="48"/>
      <c r="B70" s="48"/>
      <c r="C70" s="54"/>
      <c r="D70" s="48"/>
      <c r="E70" s="48"/>
      <c r="F70" s="48"/>
      <c r="G70" s="48"/>
      <c r="H70" s="48"/>
      <c r="I70" s="48"/>
      <c r="J70" s="319"/>
      <c r="K70" s="319"/>
      <c r="L70" s="300"/>
      <c r="M70" s="300"/>
      <c r="N70" s="300"/>
      <c r="O70" s="300"/>
      <c r="P70" s="300"/>
      <c r="Q70" s="300"/>
      <c r="R70" s="300"/>
      <c r="S70" s="300"/>
      <c r="T70" s="300"/>
      <c r="U70" s="300"/>
      <c r="V70" s="300"/>
      <c r="W70" s="300"/>
      <c r="X70" s="300"/>
      <c r="Y70" s="300"/>
      <c r="Z70" s="300"/>
      <c r="AA70" s="300"/>
      <c r="AB70" s="300"/>
      <c r="AC70" s="300"/>
      <c r="AD70" s="300"/>
      <c r="AE70" s="300"/>
      <c r="AF70" s="300"/>
      <c r="AG70" s="300"/>
      <c r="AH70" s="300"/>
    </row>
    <row r="71" spans="1:34" x14ac:dyDescent="0.35">
      <c r="A71" s="48"/>
      <c r="B71" s="48"/>
      <c r="C71" s="54"/>
      <c r="D71" s="48"/>
      <c r="E71" s="48"/>
      <c r="F71" s="48"/>
      <c r="G71" s="48"/>
      <c r="H71" s="48"/>
      <c r="I71" s="48"/>
      <c r="J71" s="319"/>
      <c r="K71" s="319"/>
      <c r="L71" s="300"/>
      <c r="M71" s="300"/>
      <c r="N71" s="300"/>
      <c r="O71" s="300"/>
      <c r="P71" s="300"/>
      <c r="Q71" s="300"/>
      <c r="R71" s="300"/>
      <c r="S71" s="300"/>
      <c r="T71" s="300"/>
      <c r="U71" s="300"/>
      <c r="V71" s="300"/>
      <c r="W71" s="300"/>
      <c r="X71" s="300"/>
      <c r="Y71" s="300"/>
      <c r="Z71" s="300"/>
      <c r="AA71" s="300"/>
      <c r="AB71" s="300"/>
      <c r="AC71" s="300"/>
      <c r="AD71" s="300"/>
      <c r="AE71" s="300"/>
      <c r="AF71" s="300"/>
      <c r="AG71" s="300"/>
      <c r="AH71" s="300"/>
    </row>
    <row r="72" spans="1:34" x14ac:dyDescent="0.35">
      <c r="A72" s="48"/>
      <c r="B72" s="48"/>
      <c r="C72" s="54"/>
      <c r="D72" s="48"/>
      <c r="E72" s="48"/>
      <c r="F72" s="48"/>
      <c r="G72" s="48"/>
      <c r="H72" s="48"/>
      <c r="I72" s="48"/>
      <c r="J72" s="319"/>
      <c r="K72" s="319"/>
      <c r="L72" s="300"/>
      <c r="M72" s="300"/>
      <c r="N72" s="300"/>
      <c r="O72" s="300"/>
      <c r="P72" s="300"/>
      <c r="Q72" s="300"/>
      <c r="R72" s="300"/>
      <c r="S72" s="300"/>
      <c r="T72" s="300"/>
      <c r="U72" s="300"/>
      <c r="V72" s="300"/>
      <c r="W72" s="300"/>
      <c r="X72" s="300"/>
      <c r="Y72" s="300"/>
      <c r="Z72" s="300"/>
      <c r="AA72" s="300"/>
      <c r="AB72" s="300"/>
      <c r="AC72" s="300"/>
      <c r="AD72" s="300"/>
      <c r="AE72" s="300"/>
      <c r="AF72" s="300"/>
      <c r="AG72" s="300"/>
      <c r="AH72" s="300"/>
    </row>
    <row r="73" spans="1:34" x14ac:dyDescent="0.35">
      <c r="A73" s="48"/>
      <c r="B73" s="48"/>
      <c r="C73" s="54"/>
      <c r="D73" s="48"/>
      <c r="E73" s="48"/>
      <c r="F73" s="48"/>
      <c r="G73" s="48"/>
      <c r="H73" s="48"/>
      <c r="I73" s="48"/>
      <c r="J73" s="319"/>
      <c r="K73" s="319"/>
      <c r="L73" s="300"/>
      <c r="M73" s="300"/>
      <c r="N73" s="300"/>
      <c r="O73" s="300"/>
      <c r="P73" s="300"/>
      <c r="Q73" s="300"/>
      <c r="R73" s="300"/>
      <c r="S73" s="300"/>
      <c r="T73" s="300"/>
      <c r="U73" s="300"/>
      <c r="V73" s="300"/>
      <c r="W73" s="300"/>
      <c r="X73" s="300"/>
      <c r="Y73" s="300"/>
      <c r="Z73" s="300"/>
      <c r="AA73" s="300"/>
      <c r="AB73" s="300"/>
      <c r="AC73" s="300"/>
      <c r="AD73" s="300"/>
      <c r="AE73" s="300"/>
      <c r="AF73" s="300"/>
      <c r="AG73" s="300"/>
      <c r="AH73" s="300"/>
    </row>
    <row r="74" spans="1:34" x14ac:dyDescent="0.35">
      <c r="A74" s="48"/>
      <c r="B74" s="48"/>
      <c r="C74" s="54"/>
      <c r="D74" s="48"/>
      <c r="E74" s="48"/>
      <c r="F74" s="48"/>
      <c r="G74" s="48"/>
      <c r="H74" s="48"/>
      <c r="I74" s="48"/>
      <c r="J74" s="319"/>
      <c r="K74" s="319"/>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row>
    <row r="75" spans="1:34" x14ac:dyDescent="0.35">
      <c r="A75" s="48"/>
      <c r="B75" s="48"/>
      <c r="C75" s="54"/>
      <c r="D75" s="48"/>
      <c r="E75" s="48"/>
      <c r="F75" s="48"/>
      <c r="G75" s="48"/>
      <c r="H75" s="48"/>
      <c r="I75" s="48"/>
      <c r="J75" s="319"/>
      <c r="K75" s="319"/>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row>
    <row r="76" spans="1:34" x14ac:dyDescent="0.35">
      <c r="A76" s="48"/>
      <c r="B76" s="48"/>
      <c r="C76" s="54"/>
      <c r="D76" s="48"/>
      <c r="E76" s="48"/>
      <c r="F76" s="48"/>
      <c r="G76" s="48"/>
      <c r="H76" s="48"/>
      <c r="I76" s="48"/>
      <c r="J76" s="319"/>
      <c r="K76" s="319"/>
      <c r="L76" s="300"/>
      <c r="M76" s="300"/>
      <c r="N76" s="300"/>
      <c r="O76" s="300"/>
      <c r="P76" s="300"/>
      <c r="Q76" s="300"/>
      <c r="R76" s="300"/>
      <c r="S76" s="300"/>
      <c r="T76" s="300"/>
      <c r="U76" s="300"/>
      <c r="V76" s="300"/>
      <c r="W76" s="300"/>
      <c r="X76" s="300"/>
      <c r="Y76" s="300"/>
      <c r="Z76" s="300"/>
      <c r="AA76" s="300"/>
      <c r="AB76" s="300"/>
      <c r="AC76" s="300"/>
      <c r="AD76" s="300"/>
      <c r="AE76" s="300"/>
      <c r="AF76" s="300"/>
      <c r="AG76" s="300"/>
      <c r="AH76" s="300"/>
    </row>
    <row r="77" spans="1:34" x14ac:dyDescent="0.35">
      <c r="A77" s="48"/>
      <c r="B77" s="48"/>
      <c r="C77" s="54"/>
      <c r="D77" s="48"/>
      <c r="E77" s="48"/>
      <c r="F77" s="48"/>
      <c r="G77" s="48"/>
      <c r="H77" s="48"/>
      <c r="I77" s="48"/>
      <c r="J77" s="319"/>
      <c r="K77" s="319"/>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row>
    <row r="78" spans="1:34" x14ac:dyDescent="0.35">
      <c r="A78" s="48"/>
      <c r="B78" s="48"/>
      <c r="C78" s="54"/>
      <c r="D78" s="48"/>
      <c r="E78" s="48"/>
      <c r="F78" s="48"/>
      <c r="G78" s="48"/>
      <c r="H78" s="48"/>
      <c r="I78" s="48"/>
      <c r="J78" s="319"/>
      <c r="K78" s="319"/>
      <c r="L78" s="300"/>
      <c r="M78" s="300"/>
      <c r="N78" s="300"/>
      <c r="O78" s="300"/>
      <c r="P78" s="300"/>
      <c r="Q78" s="300"/>
      <c r="R78" s="300"/>
      <c r="S78" s="300"/>
      <c r="T78" s="300"/>
      <c r="U78" s="300"/>
      <c r="V78" s="300"/>
      <c r="W78" s="300"/>
      <c r="X78" s="300"/>
      <c r="Y78" s="300"/>
      <c r="Z78" s="300"/>
      <c r="AA78" s="300"/>
      <c r="AB78" s="300"/>
      <c r="AC78" s="300"/>
      <c r="AD78" s="300"/>
      <c r="AE78" s="300"/>
      <c r="AF78" s="300"/>
      <c r="AG78" s="300"/>
      <c r="AH78" s="300"/>
    </row>
    <row r="79" spans="1:34" x14ac:dyDescent="0.35">
      <c r="C79" s="54"/>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row>
    <row r="80" spans="1:34" x14ac:dyDescent="0.35">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row>
  </sheetData>
  <sheetProtection algorithmName="SHA-512" hashValue="/q+iwLgq48s+7d4B8RrX1yH0BO9X4DUsARccTwYzHW5ecKV3eCQFFIaNkI8j3gKgXeJ4zsXOIsUXCurqX2x1jg==" saltValue="p764HmUYm+k2xEmF2Bh5Zw==" spinCount="100000" sheet="1" formatCells="0" formatColumns="0" formatRows="0" insertColumns="0" insertRows="0"/>
  <mergeCells count="1">
    <mergeCell ref="A1:C1"/>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11de1c-9cfa-4c68-8fc9-c9cc02f583cc" xsi:nil="true"/>
    <lcf76f155ced4ddcb4097134ff3c332f xmlns="2d529f3b-e78c-41cf-bfdf-e7887a5bd6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F8737D277DB348805C6CEB50E82870" ma:contentTypeVersion="11" ma:contentTypeDescription="Create a new document." ma:contentTypeScope="" ma:versionID="9bb80599514fac69070634abd601fcd4">
  <xsd:schema xmlns:xsd="http://www.w3.org/2001/XMLSchema" xmlns:xs="http://www.w3.org/2001/XMLSchema" xmlns:p="http://schemas.microsoft.com/office/2006/metadata/properties" xmlns:ns2="2d529f3b-e78c-41cf-bfdf-e7887a5bd654" xmlns:ns3="e211de1c-9cfa-4c68-8fc9-c9cc02f583cc" targetNamespace="http://schemas.microsoft.com/office/2006/metadata/properties" ma:root="true" ma:fieldsID="b652f042e5248532227f6123cc67423d" ns2:_="" ns3:_="">
    <xsd:import namespace="2d529f3b-e78c-41cf-bfdf-e7887a5bd654"/>
    <xsd:import namespace="e211de1c-9cfa-4c68-8fc9-c9cc02f583c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529f3b-e78c-41cf-bfdf-e7887a5bd6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11de1c-9cfa-4c68-8fc9-c9cc02f583c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0b5a45f-b09e-4f02-bd89-6d4d5189aa64}" ma:internalName="TaxCatchAll" ma:showField="CatchAllData" ma:web="e211de1c-9cfa-4c68-8fc9-c9cc02f583cc">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DBE792-39A1-4729-8B27-24F5021C5338}">
  <ds:schemaRefs>
    <ds:schemaRef ds:uri="http://purl.org/dc/elements/1.1/"/>
    <ds:schemaRef ds:uri="http://schemas.microsoft.com/office/2006/documentManagement/types"/>
    <ds:schemaRef ds:uri="http://www.w3.org/XML/1998/namespace"/>
    <ds:schemaRef ds:uri="2d529f3b-e78c-41cf-bfdf-e7887a5bd654"/>
    <ds:schemaRef ds:uri="http://schemas.openxmlformats.org/package/2006/metadata/core-properties"/>
    <ds:schemaRef ds:uri="http://schemas.microsoft.com/office/infopath/2007/PartnerControls"/>
    <ds:schemaRef ds:uri="e211de1c-9cfa-4c68-8fc9-c9cc02f583cc"/>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BA02896-AFE4-489F-8D73-16228B4049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529f3b-e78c-41cf-bfdf-e7887a5bd654"/>
    <ds:schemaRef ds:uri="e211de1c-9cfa-4c68-8fc9-c9cc02f583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2C9592-DD1D-45D3-A168-44C5864DD9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vt:lpstr>
      <vt:lpstr>Documentation</vt:lpstr>
      <vt:lpstr>Total Cost Summary</vt:lpstr>
      <vt:lpstr>Dam Removal Cost</vt:lpstr>
      <vt:lpstr>Reservoir Sed Mgt &amp; Mit Cost</vt:lpstr>
      <vt:lpstr>Downstream Mitigation Cost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Randle, Timothy J</dc:creator>
  <cp:keywords/>
  <dc:description/>
  <cp:lastModifiedBy>Bountry, Jennifer A</cp:lastModifiedBy>
  <cp:revision/>
  <dcterms:created xsi:type="dcterms:W3CDTF">2021-09-02T16:52:45Z</dcterms:created>
  <dcterms:modified xsi:type="dcterms:W3CDTF">2023-11-17T20:32:07Z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0x01010065F8737D277DB348805C6CEB50E82870</vt:lpwstr>
  </property>
  <property fmtid="{D5CDD505-2E9C-101B-9397-08002B2CF9AE}" pid="3" name="MediaServiceImageTags">
    <vt:lpwstr/>
  </property>
</Properties>
</file>