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pillway Joints\Reports-Papers\Closeout 2024\"/>
    </mc:Choice>
  </mc:AlternateContent>
  <xr:revisionPtr revIDLastSave="0" documentId="13_ncr:1_{8E2564C9-9CC2-490A-861E-D991EC878D97}" xr6:coauthVersionLast="47" xr6:coauthVersionMax="47" xr10:uidLastSave="{00000000-0000-0000-0000-000000000000}"/>
  <bookViews>
    <workbookView xWindow="-120" yWindow="-120" windowWidth="29040" windowHeight="17640" xr2:uid="{2ADF0E33-DB8E-4956-A0D0-E67A6C3FE138}"/>
  </bookViews>
  <sheets>
    <sheet name="NOTES" sheetId="2" r:id="rId1"/>
    <sheet name="JHE2" sheetId="3" r:id="rId2"/>
    <sheet name="EM46" sheetId="1" r:id="rId3"/>
  </sheets>
  <externalReferences>
    <externalReference r:id="rId4"/>
  </externalReferences>
  <definedNames>
    <definedName name="gravity" localSheetId="1">'JHE2'!$C$2</definedName>
    <definedName name="gravity">'EM46'!$C$2</definedName>
    <definedName name="offset">[1]Sheet1!$G$6</definedName>
    <definedName name="theta">[1]Sheet1!$J$5</definedName>
    <definedName name="viscosity">[1]Sheet1!$T$3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58" i="3" l="1"/>
  <c r="AH58" i="3"/>
  <c r="AG58" i="3"/>
  <c r="AF58" i="3"/>
  <c r="AE58" i="3"/>
  <c r="AD58" i="3"/>
  <c r="AQ51" i="3"/>
  <c r="AH51" i="3"/>
  <c r="AG51" i="3"/>
  <c r="AF51" i="3"/>
  <c r="AE51" i="3"/>
  <c r="AD51" i="3"/>
  <c r="AQ44" i="3"/>
  <c r="AH44" i="3"/>
  <c r="AG44" i="3"/>
  <c r="AF44" i="3"/>
  <c r="AE44" i="3"/>
  <c r="AD44" i="3"/>
  <c r="AI37" i="3"/>
  <c r="AI51" i="3" s="1"/>
  <c r="G32" i="3"/>
  <c r="Q30" i="3" a="1"/>
  <c r="Q30" i="3" s="1"/>
  <c r="G30" i="3"/>
  <c r="R29" i="3" a="1"/>
  <c r="R29" i="3" s="1"/>
  <c r="C20" i="3"/>
  <c r="C21" i="3" s="1"/>
  <c r="C15" i="3"/>
  <c r="C30" i="3" s="1"/>
  <c r="AG13" i="3" a="1"/>
  <c r="AG13" i="3" s="1"/>
  <c r="AF13" i="3" a="1"/>
  <c r="AF13" i="3" s="1"/>
  <c r="AD13" i="3" a="1"/>
  <c r="AD13" i="3" s="1"/>
  <c r="Y13" i="3" a="1"/>
  <c r="Y13" i="3" s="1"/>
  <c r="W13" i="3" a="1"/>
  <c r="W13" i="3" s="1"/>
  <c r="R13" i="3" a="1"/>
  <c r="R13" i="3" s="1"/>
  <c r="Q13" i="3" a="1"/>
  <c r="Q13" i="3" s="1"/>
  <c r="C13" i="3"/>
  <c r="AG12" i="3" a="1"/>
  <c r="AG12" i="3" s="1"/>
  <c r="R12" i="3"/>
  <c r="R12" i="3" a="1"/>
  <c r="E12" i="3"/>
  <c r="C10" i="3"/>
  <c r="C17" i="3" s="1"/>
  <c r="C8" i="3"/>
  <c r="C16" i="3" s="1"/>
  <c r="C6" i="3"/>
  <c r="C4" i="3"/>
  <c r="C18" i="3" l="1"/>
  <c r="C19" i="3" s="1"/>
  <c r="C14" i="3"/>
  <c r="F21" i="3"/>
  <c r="E21" i="3"/>
  <c r="AI44" i="3"/>
  <c r="C31" i="3"/>
  <c r="C32" i="3" s="1"/>
  <c r="AI58" i="3"/>
  <c r="C24" i="3"/>
  <c r="C25" i="3" s="1"/>
  <c r="C26" i="3" s="1"/>
  <c r="C27" i="3" s="1"/>
  <c r="AJ37" i="3"/>
  <c r="C34" i="3" l="1"/>
  <c r="J12" i="3" s="1"/>
  <c r="C33" i="3"/>
  <c r="AJ58" i="3"/>
  <c r="AJ44" i="3"/>
  <c r="AJ51" i="3"/>
  <c r="AK37" i="3"/>
  <c r="AL37" i="3" l="1"/>
  <c r="AK58" i="3"/>
  <c r="AK44" i="3"/>
  <c r="AK51" i="3"/>
  <c r="AL58" i="3" l="1"/>
  <c r="AL51" i="3"/>
  <c r="AL44" i="3"/>
  <c r="AM37" i="3"/>
  <c r="AM44" i="3" l="1"/>
  <c r="AM51" i="3"/>
  <c r="AN37" i="3"/>
  <c r="AM58" i="3"/>
  <c r="AN44" i="3" l="1"/>
  <c r="AN51" i="3"/>
  <c r="AO37" i="3"/>
  <c r="AN58" i="3"/>
  <c r="AO58" i="3" l="1"/>
  <c r="AO44" i="3"/>
  <c r="AO51" i="3"/>
  <c r="AP37" i="3"/>
  <c r="AP44" i="3" l="1"/>
  <c r="AP51" i="3"/>
  <c r="AP58" i="3"/>
  <c r="E12" i="1" l="1"/>
  <c r="F21" i="1"/>
  <c r="E21" i="1"/>
  <c r="C4" i="1"/>
  <c r="AH58" i="1"/>
  <c r="AH51" i="1"/>
  <c r="AH44" i="1"/>
  <c r="AF58" i="1"/>
  <c r="AF51" i="1"/>
  <c r="AF44" i="1"/>
  <c r="AE58" i="1"/>
  <c r="AE51" i="1"/>
  <c r="AE44" i="1"/>
  <c r="AI37" i="1"/>
  <c r="AG58" i="1"/>
  <c r="AG51" i="1"/>
  <c r="AG44" i="1"/>
  <c r="AD58" i="1" l="1"/>
  <c r="AD51" i="1"/>
  <c r="AD44" i="1"/>
  <c r="AJ37" i="1"/>
  <c r="AK37" i="1" s="1"/>
  <c r="AL37" i="1" s="1"/>
  <c r="AL44" i="1" s="1"/>
  <c r="R29" i="1" a="1"/>
  <c r="R29" i="1" s="1"/>
  <c r="Q30" i="1" a="1"/>
  <c r="Q30" i="1" s="1"/>
  <c r="AK58" i="1" l="1"/>
  <c r="AI51" i="1"/>
  <c r="AL58" i="1"/>
  <c r="AK51" i="1"/>
  <c r="AI44" i="1"/>
  <c r="AL51" i="1"/>
  <c r="AJ44" i="1"/>
  <c r="AK44" i="1"/>
  <c r="AJ51" i="1"/>
  <c r="AI58" i="1"/>
  <c r="AJ58" i="1"/>
  <c r="AM37" i="1"/>
  <c r="AM44" i="1" l="1"/>
  <c r="AM58" i="1"/>
  <c r="AM51" i="1"/>
  <c r="AN37" i="1"/>
  <c r="AN44" i="1" l="1"/>
  <c r="AN51" i="1"/>
  <c r="AN58" i="1"/>
  <c r="AO37" i="1"/>
  <c r="AP37" i="1" s="1"/>
  <c r="AP58" i="1" l="1"/>
  <c r="AP44" i="1"/>
  <c r="AP51" i="1"/>
  <c r="AO44" i="1"/>
  <c r="AO51" i="1"/>
  <c r="AO58" i="1"/>
  <c r="C6" i="1"/>
  <c r="AG13" i="1" a="1"/>
  <c r="AG13" i="1" s="1"/>
  <c r="AF13" i="1" a="1"/>
  <c r="AF13" i="1" s="1"/>
  <c r="AG12" i="1" a="1"/>
  <c r="AG12" i="1" s="1"/>
  <c r="Y13" i="1" a="1"/>
  <c r="Y13" i="1" s="1"/>
  <c r="AD13" i="1" a="1"/>
  <c r="AD13" i="1" s="1"/>
  <c r="Q13" i="1" a="1"/>
  <c r="Q13" i="1" s="1"/>
  <c r="R12" i="1" a="1"/>
  <c r="R12" i="1" s="1"/>
  <c r="R13" i="1" a="1"/>
  <c r="R13" i="1" s="1"/>
  <c r="W13" i="1" a="1"/>
  <c r="W13" i="1" s="1"/>
  <c r="G32" i="1"/>
  <c r="G30" i="1"/>
  <c r="C20" i="1"/>
  <c r="AQ44" i="1" l="1"/>
  <c r="AQ51" i="1"/>
  <c r="AQ58" i="1"/>
  <c r="C13" i="1"/>
  <c r="C15" i="1" l="1"/>
  <c r="C21" i="1"/>
  <c r="C14" i="1" s="1"/>
  <c r="C10" i="1"/>
  <c r="C17" i="1" s="1"/>
  <c r="C8" i="1"/>
  <c r="C31" i="1" l="1"/>
  <c r="C30" i="1"/>
  <c r="C24" i="1"/>
  <c r="C25" i="1" s="1"/>
  <c r="C26" i="1" s="1"/>
  <c r="C16" i="1"/>
  <c r="C18" i="1" s="1"/>
  <c r="C32" i="1" l="1"/>
  <c r="C19" i="1"/>
  <c r="C33" i="1" l="1"/>
  <c r="C34" i="1"/>
  <c r="J12" i="1" s="1"/>
  <c r="C27" i="1"/>
  <c r="K22" i="1" l="1"/>
  <c r="L22" i="1"/>
  <c r="M22" i="1"/>
  <c r="N22" i="1"/>
  <c r="K23" i="1"/>
  <c r="L23" i="1"/>
  <c r="M23" i="1"/>
  <c r="N23" i="1"/>
  <c r="K24" i="1"/>
  <c r="L24" i="1"/>
  <c r="M24" i="1"/>
  <c r="N24" i="1"/>
  <c r="K25" i="1"/>
  <c r="L25" i="1"/>
  <c r="M25" i="1"/>
  <c r="N25" i="1"/>
  <c r="K26" i="1"/>
  <c r="L26" i="1"/>
  <c r="M26" i="1"/>
  <c r="N26" i="1"/>
  <c r="K29" i="1"/>
  <c r="L29" i="1"/>
  <c r="M29" i="1"/>
  <c r="N29" i="1"/>
  <c r="K30" i="1"/>
  <c r="L30" i="1"/>
  <c r="M30" i="1"/>
  <c r="N30" i="1"/>
  <c r="R30" i="1" a="1"/>
  <c r="R30" i="1"/>
  <c r="X30" i="1"/>
  <c r="Y30" i="1"/>
  <c r="Z30" i="1"/>
  <c r="AA30" i="1"/>
  <c r="AD30" i="1" a="1"/>
  <c r="AD30" i="1"/>
  <c r="AI30" i="1" a="1"/>
  <c r="AI30" i="1"/>
  <c r="AN30" i="1"/>
  <c r="AO30" i="1"/>
  <c r="AP30" i="1"/>
  <c r="AQ30" i="1"/>
  <c r="AS30" i="1" a="1"/>
  <c r="AS30" i="1"/>
  <c r="AX30" i="1"/>
  <c r="AY30" i="1"/>
  <c r="AZ30" i="1"/>
  <c r="BA30" i="1"/>
  <c r="K31" i="1"/>
  <c r="L31" i="1"/>
  <c r="M31" i="1"/>
  <c r="N31" i="1"/>
  <c r="X31" i="1"/>
  <c r="Y31" i="1"/>
  <c r="Z31" i="1"/>
  <c r="AA31" i="1"/>
  <c r="AN31" i="1"/>
  <c r="AO31" i="1"/>
  <c r="AP31" i="1"/>
  <c r="AQ31" i="1"/>
  <c r="AX31" i="1"/>
  <c r="AY31" i="1"/>
  <c r="AZ31" i="1"/>
  <c r="BA31" i="1"/>
  <c r="K32" i="1"/>
  <c r="L32" i="1"/>
  <c r="M32" i="1"/>
  <c r="N32" i="1"/>
  <c r="X32" i="1"/>
  <c r="Y32" i="1"/>
  <c r="Z32" i="1"/>
  <c r="AA32" i="1"/>
  <c r="AN32" i="1"/>
  <c r="AO32" i="1"/>
  <c r="AP32" i="1"/>
  <c r="AQ32" i="1"/>
  <c r="AX32" i="1"/>
  <c r="AY32" i="1"/>
  <c r="AZ32" i="1"/>
  <c r="BA32" i="1"/>
  <c r="K33" i="1"/>
  <c r="L33" i="1"/>
  <c r="M33" i="1"/>
  <c r="N33" i="1"/>
  <c r="X33" i="1"/>
  <c r="Y33" i="1"/>
  <c r="Z33" i="1"/>
  <c r="AA33" i="1"/>
  <c r="AN33" i="1"/>
  <c r="AO33" i="1"/>
  <c r="AP33" i="1"/>
  <c r="AQ33" i="1"/>
  <c r="AX33" i="1"/>
  <c r="AY33" i="1"/>
  <c r="AZ33" i="1"/>
  <c r="BA33" i="1"/>
  <c r="K35" i="1"/>
  <c r="L35" i="1"/>
  <c r="M35" i="1"/>
  <c r="N35" i="1"/>
  <c r="K36" i="1"/>
  <c r="L36" i="1"/>
  <c r="M36" i="1"/>
  <c r="N36" i="1"/>
  <c r="K37" i="1"/>
  <c r="L37" i="1"/>
  <c r="M37" i="1"/>
  <c r="N37" i="1"/>
  <c r="K38" i="1"/>
  <c r="L38" i="1"/>
  <c r="M38" i="1"/>
  <c r="N38" i="1"/>
  <c r="AD38" i="1" a="1"/>
  <c r="AD38" i="1"/>
  <c r="AE38" i="1" a="1"/>
  <c r="AE38" i="1"/>
  <c r="AF38" i="1" a="1"/>
  <c r="AF38" i="1"/>
  <c r="AG38" i="1" a="1"/>
  <c r="AG38" i="1"/>
  <c r="AH38" i="1" a="1"/>
  <c r="AH38" i="1"/>
  <c r="AI38" i="1" a="1"/>
  <c r="AI38" i="1"/>
  <c r="AJ38" i="1" a="1"/>
  <c r="AJ38" i="1"/>
  <c r="AK38" i="1" a="1"/>
  <c r="AK38" i="1"/>
  <c r="AL38" i="1" a="1"/>
  <c r="AL38" i="1"/>
  <c r="AM38" i="1" a="1"/>
  <c r="AM38" i="1"/>
  <c r="AN38" i="1" a="1"/>
  <c r="AN38" i="1"/>
  <c r="AO38" i="1" a="1"/>
  <c r="AO38" i="1"/>
  <c r="AP38" i="1" a="1"/>
  <c r="AP38" i="1"/>
  <c r="AQ38" i="1" a="1"/>
  <c r="AQ38" i="1"/>
  <c r="K39" i="1"/>
  <c r="L39" i="1"/>
  <c r="M39" i="1"/>
  <c r="N39" i="1"/>
  <c r="K41" i="1"/>
  <c r="L41" i="1"/>
  <c r="M41" i="1"/>
  <c r="N41" i="1"/>
  <c r="K42" i="1"/>
  <c r="L42" i="1"/>
  <c r="M42" i="1"/>
  <c r="N42" i="1"/>
  <c r="K43" i="1"/>
  <c r="L43" i="1"/>
  <c r="M43" i="1"/>
  <c r="N43" i="1"/>
  <c r="K44" i="1"/>
  <c r="L44" i="1"/>
  <c r="M44" i="1"/>
  <c r="N44" i="1"/>
  <c r="K45" i="1"/>
  <c r="L45" i="1"/>
  <c r="M45" i="1"/>
  <c r="N45" i="1"/>
  <c r="AD45" i="1" a="1"/>
  <c r="AD45" i="1"/>
  <c r="AE45" i="1" a="1"/>
  <c r="AE45" i="1"/>
  <c r="AF45" i="1" a="1"/>
  <c r="AF45" i="1"/>
  <c r="AG45" i="1" a="1"/>
  <c r="AG45" i="1"/>
  <c r="AH45" i="1" a="1"/>
  <c r="AH45" i="1"/>
  <c r="AI45" i="1" a="1"/>
  <c r="AI45" i="1"/>
  <c r="AJ45" i="1" a="1"/>
  <c r="AJ45" i="1"/>
  <c r="AK45" i="1" a="1"/>
  <c r="AK45" i="1"/>
  <c r="AL45" i="1" a="1"/>
  <c r="AL45" i="1"/>
  <c r="AM45" i="1" a="1"/>
  <c r="AM45" i="1"/>
  <c r="AN45" i="1" a="1"/>
  <c r="AN45" i="1"/>
  <c r="AO45" i="1" a="1"/>
  <c r="AO45" i="1"/>
  <c r="AP45" i="1" a="1"/>
  <c r="AP45" i="1"/>
  <c r="AQ45" i="1" a="1"/>
  <c r="AQ45" i="1"/>
  <c r="AD52" i="1" a="1"/>
  <c r="AD52" i="1"/>
  <c r="AE52" i="1" a="1"/>
  <c r="AE52" i="1"/>
  <c r="AF52" i="1" a="1"/>
  <c r="AF52" i="1"/>
  <c r="AG52" i="1" a="1"/>
  <c r="AG52" i="1"/>
  <c r="AH52" i="1" a="1"/>
  <c r="AH52" i="1"/>
  <c r="AI52" i="1" a="1"/>
  <c r="AI52" i="1"/>
  <c r="AJ52" i="1" a="1"/>
  <c r="AJ52" i="1"/>
  <c r="AK52" i="1" a="1"/>
  <c r="AK52" i="1"/>
  <c r="AL52" i="1" a="1"/>
  <c r="AL52" i="1"/>
  <c r="AM52" i="1" a="1"/>
  <c r="AM52" i="1"/>
  <c r="AN52" i="1" a="1"/>
  <c r="AN52" i="1"/>
  <c r="AO52" i="1" a="1"/>
  <c r="AO52" i="1"/>
  <c r="AP52" i="1" a="1"/>
  <c r="AP52" i="1"/>
  <c r="AQ52" i="1" a="1"/>
  <c r="AQ52" i="1"/>
  <c r="AD59" i="1" a="1"/>
  <c r="AD59" i="1"/>
  <c r="AE59" i="1" a="1"/>
  <c r="AE59" i="1"/>
  <c r="AF59" i="1" a="1"/>
  <c r="AF59" i="1"/>
  <c r="AG59" i="1" a="1"/>
  <c r="AG59" i="1"/>
  <c r="AH59" i="1" a="1"/>
  <c r="AH59" i="1"/>
  <c r="AI59" i="1" a="1"/>
  <c r="AI59" i="1"/>
  <c r="AJ59" i="1" a="1"/>
  <c r="AJ59" i="1"/>
  <c r="AK59" i="1" a="1"/>
  <c r="AK59" i="1"/>
  <c r="AL59" i="1" a="1"/>
  <c r="AL59" i="1"/>
  <c r="AM59" i="1" a="1"/>
  <c r="AM59" i="1"/>
  <c r="AN59" i="1" a="1"/>
  <c r="AN59" i="1"/>
  <c r="AO59" i="1" a="1"/>
  <c r="AO59" i="1"/>
  <c r="AP59" i="1" a="1"/>
  <c r="AP59" i="1"/>
  <c r="AQ59" i="1" a="1"/>
  <c r="AQ59" i="1"/>
  <c r="BA91" i="1"/>
  <c r="BA92" i="1"/>
  <c r="BA93" i="1"/>
  <c r="BA94" i="1"/>
  <c r="BA95" i="1"/>
  <c r="BA96" i="1"/>
  <c r="K22" i="3"/>
  <c r="L22" i="3"/>
  <c r="M22" i="3"/>
  <c r="N22" i="3"/>
  <c r="K23" i="3"/>
  <c r="L23" i="3"/>
  <c r="M23" i="3"/>
  <c r="N23" i="3"/>
  <c r="K24" i="3"/>
  <c r="L24" i="3"/>
  <c r="M24" i="3"/>
  <c r="N24" i="3"/>
  <c r="K25" i="3"/>
  <c r="L25" i="3"/>
  <c r="M25" i="3"/>
  <c r="N25" i="3"/>
  <c r="K26" i="3"/>
  <c r="L26" i="3"/>
  <c r="M26" i="3"/>
  <c r="N26" i="3"/>
  <c r="K29" i="3"/>
  <c r="L29" i="3"/>
  <c r="M29" i="3"/>
  <c r="N29" i="3"/>
  <c r="K30" i="3"/>
  <c r="L30" i="3"/>
  <c r="M30" i="3"/>
  <c r="N30" i="3"/>
  <c r="R30" i="3" a="1"/>
  <c r="R30" i="3"/>
  <c r="X30" i="3"/>
  <c r="Y30" i="3"/>
  <c r="Z30" i="3"/>
  <c r="AA30" i="3"/>
  <c r="AD30" i="3" a="1"/>
  <c r="AD30" i="3"/>
  <c r="AI30" i="3" a="1"/>
  <c r="AI30" i="3"/>
  <c r="AN30" i="3"/>
  <c r="AO30" i="3"/>
  <c r="AP30" i="3"/>
  <c r="AQ30" i="3"/>
  <c r="AS30" i="3" a="1"/>
  <c r="AS30" i="3"/>
  <c r="AX30" i="3"/>
  <c r="AY30" i="3"/>
  <c r="AZ30" i="3"/>
  <c r="BA30" i="3"/>
  <c r="K31" i="3"/>
  <c r="L31" i="3"/>
  <c r="M31" i="3"/>
  <c r="N31" i="3"/>
  <c r="X31" i="3"/>
  <c r="Y31" i="3"/>
  <c r="Z31" i="3"/>
  <c r="AA31" i="3"/>
  <c r="AN31" i="3"/>
  <c r="AO31" i="3"/>
  <c r="AP31" i="3"/>
  <c r="AQ31" i="3"/>
  <c r="AX31" i="3"/>
  <c r="AY31" i="3"/>
  <c r="AZ31" i="3"/>
  <c r="BA31" i="3"/>
  <c r="K32" i="3"/>
  <c r="L32" i="3"/>
  <c r="M32" i="3"/>
  <c r="N32" i="3"/>
  <c r="X32" i="3"/>
  <c r="Y32" i="3"/>
  <c r="Z32" i="3"/>
  <c r="AA32" i="3"/>
  <c r="AN32" i="3"/>
  <c r="AO32" i="3"/>
  <c r="AP32" i="3"/>
  <c r="AQ32" i="3"/>
  <c r="AX32" i="3"/>
  <c r="AY32" i="3"/>
  <c r="AZ32" i="3"/>
  <c r="BA32" i="3"/>
  <c r="K33" i="3"/>
  <c r="L33" i="3"/>
  <c r="M33" i="3"/>
  <c r="N33" i="3"/>
  <c r="X33" i="3"/>
  <c r="Y33" i="3"/>
  <c r="Z33" i="3"/>
  <c r="AA33" i="3"/>
  <c r="AN33" i="3"/>
  <c r="AO33" i="3"/>
  <c r="AP33" i="3"/>
  <c r="AQ33" i="3"/>
  <c r="AX33" i="3"/>
  <c r="AY33" i="3"/>
  <c r="AZ33" i="3"/>
  <c r="BA33" i="3"/>
  <c r="K35" i="3"/>
  <c r="L35" i="3"/>
  <c r="M35" i="3"/>
  <c r="N35" i="3"/>
  <c r="K36" i="3"/>
  <c r="L36" i="3"/>
  <c r="M36" i="3"/>
  <c r="N36" i="3"/>
  <c r="K37" i="3"/>
  <c r="L37" i="3"/>
  <c r="M37" i="3"/>
  <c r="N37" i="3"/>
  <c r="K38" i="3"/>
  <c r="L38" i="3"/>
  <c r="M38" i="3"/>
  <c r="N38" i="3"/>
  <c r="AD38" i="3" a="1"/>
  <c r="AD38" i="3"/>
  <c r="AE38" i="3" a="1"/>
  <c r="AE38" i="3"/>
  <c r="AF38" i="3" a="1"/>
  <c r="AF38" i="3"/>
  <c r="AG38" i="3" a="1"/>
  <c r="AG38" i="3"/>
  <c r="AH38" i="3" a="1"/>
  <c r="AH38" i="3"/>
  <c r="AI38" i="3" a="1"/>
  <c r="AI38" i="3"/>
  <c r="AJ38" i="3" a="1"/>
  <c r="AJ38" i="3"/>
  <c r="AK38" i="3" a="1"/>
  <c r="AK38" i="3"/>
  <c r="AL38" i="3" a="1"/>
  <c r="AL38" i="3"/>
  <c r="AM38" i="3" a="1"/>
  <c r="AM38" i="3"/>
  <c r="AN38" i="3" a="1"/>
  <c r="AN38" i="3"/>
  <c r="AO38" i="3" a="1"/>
  <c r="AO38" i="3"/>
  <c r="AP38" i="3" a="1"/>
  <c r="AP38" i="3"/>
  <c r="AQ38" i="3" a="1"/>
  <c r="AQ38" i="3"/>
  <c r="K39" i="3"/>
  <c r="L39" i="3"/>
  <c r="M39" i="3"/>
  <c r="N39" i="3"/>
  <c r="K41" i="3"/>
  <c r="L41" i="3"/>
  <c r="M41" i="3"/>
  <c r="N41" i="3"/>
  <c r="K42" i="3"/>
  <c r="L42" i="3"/>
  <c r="M42" i="3"/>
  <c r="N42" i="3"/>
  <c r="K43" i="3"/>
  <c r="L43" i="3"/>
  <c r="M43" i="3"/>
  <c r="N43" i="3"/>
  <c r="K44" i="3"/>
  <c r="L44" i="3"/>
  <c r="M44" i="3"/>
  <c r="N44" i="3"/>
  <c r="K45" i="3"/>
  <c r="L45" i="3"/>
  <c r="M45" i="3"/>
  <c r="N45" i="3"/>
  <c r="AD45" i="3" a="1"/>
  <c r="AD45" i="3"/>
  <c r="AE45" i="3" a="1"/>
  <c r="AE45" i="3"/>
  <c r="AF45" i="3" a="1"/>
  <c r="AF45" i="3"/>
  <c r="AG45" i="3" a="1"/>
  <c r="AG45" i="3"/>
  <c r="AH45" i="3" a="1"/>
  <c r="AH45" i="3"/>
  <c r="AI45" i="3" a="1"/>
  <c r="AI45" i="3"/>
  <c r="AJ45" i="3" a="1"/>
  <c r="AJ45" i="3"/>
  <c r="AK45" i="3" a="1"/>
  <c r="AK45" i="3"/>
  <c r="AL45" i="3" a="1"/>
  <c r="AL45" i="3"/>
  <c r="AM45" i="3" a="1"/>
  <c r="AM45" i="3"/>
  <c r="AN45" i="3" a="1"/>
  <c r="AN45" i="3"/>
  <c r="AO45" i="3" a="1"/>
  <c r="AO45" i="3"/>
  <c r="AP45" i="3" a="1"/>
  <c r="AP45" i="3"/>
  <c r="AQ45" i="3" a="1"/>
  <c r="AQ45" i="3"/>
  <c r="AD52" i="3" a="1"/>
  <c r="AD52" i="3"/>
  <c r="AE52" i="3" a="1"/>
  <c r="AE52" i="3"/>
  <c r="AF52" i="3" a="1"/>
  <c r="AF52" i="3"/>
  <c r="AG52" i="3" a="1"/>
  <c r="AG52" i="3"/>
  <c r="AH52" i="3" a="1"/>
  <c r="AH52" i="3"/>
  <c r="AI52" i="3" a="1"/>
  <c r="AI52" i="3"/>
  <c r="AJ52" i="3" a="1"/>
  <c r="AJ52" i="3"/>
  <c r="AK52" i="3" a="1"/>
  <c r="AK52" i="3"/>
  <c r="AL52" i="3" a="1"/>
  <c r="AL52" i="3"/>
  <c r="AM52" i="3" a="1"/>
  <c r="AM52" i="3"/>
  <c r="AN52" i="3" a="1"/>
  <c r="AN52" i="3"/>
  <c r="AO52" i="3" a="1"/>
  <c r="AO52" i="3"/>
  <c r="AP52" i="3" a="1"/>
  <c r="AP52" i="3"/>
  <c r="AQ52" i="3" a="1"/>
  <c r="AQ52" i="3"/>
  <c r="AD59" i="3" a="1"/>
  <c r="AD59" i="3"/>
  <c r="AE59" i="3" a="1"/>
  <c r="AE59" i="3"/>
  <c r="AF59" i="3" a="1"/>
  <c r="AF59" i="3"/>
  <c r="AG59" i="3" a="1"/>
  <c r="AG59" i="3"/>
  <c r="AH59" i="3" a="1"/>
  <c r="AH59" i="3"/>
  <c r="AI59" i="3" a="1"/>
  <c r="AI59" i="3"/>
  <c r="AJ59" i="3" a="1"/>
  <c r="AJ59" i="3"/>
  <c r="AK59" i="3" a="1"/>
  <c r="AK59" i="3"/>
  <c r="AL59" i="3" a="1"/>
  <c r="AL59" i="3"/>
  <c r="AM59" i="3" a="1"/>
  <c r="AM59" i="3"/>
  <c r="AN59" i="3" a="1"/>
  <c r="AN59" i="3"/>
  <c r="AO59" i="3" a="1"/>
  <c r="AO59" i="3"/>
  <c r="AP59" i="3" a="1"/>
  <c r="AP59" i="3"/>
  <c r="AQ59" i="3" a="1"/>
  <c r="AQ59" i="3"/>
  <c r="BA91" i="3"/>
  <c r="BA92" i="3"/>
  <c r="BA93" i="3"/>
  <c r="BA94" i="3"/>
  <c r="BA95" i="3"/>
  <c r="BA96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<sst xmlns="http://schemas.openxmlformats.org/spreadsheetml/2006/main" count="282" uniqueCount="116">
  <si>
    <t>ft/s</t>
  </si>
  <si>
    <t>Hv =</t>
  </si>
  <si>
    <t>V =</t>
  </si>
  <si>
    <t>ft</t>
  </si>
  <si>
    <t>N =</t>
  </si>
  <si>
    <t>a*</t>
  </si>
  <si>
    <t>offset, h</t>
  </si>
  <si>
    <t>depth, y</t>
  </si>
  <si>
    <t>y/h</t>
  </si>
  <si>
    <t>inches</t>
  </si>
  <si>
    <t>gap, s</t>
  </si>
  <si>
    <t>y/s</t>
  </si>
  <si>
    <r>
      <t>Fr*</t>
    </r>
    <r>
      <rPr>
        <vertAlign val="subscript"/>
        <sz val="11"/>
        <color theme="1"/>
        <rFont val="Calibri"/>
        <family val="2"/>
        <scheme val="minor"/>
      </rPr>
      <t>V</t>
    </r>
  </si>
  <si>
    <t>slope</t>
  </si>
  <si>
    <t>deg.</t>
  </si>
  <si>
    <t>radians</t>
  </si>
  <si>
    <t>b</t>
  </si>
  <si>
    <r>
      <t>(Fr*</t>
    </r>
    <r>
      <rPr>
        <vertAlign val="subscript"/>
        <sz val="11"/>
        <color theme="1"/>
        <rFont val="Calibri"/>
        <family val="2"/>
        <scheme val="minor"/>
      </rPr>
      <t>V</t>
    </r>
    <r>
      <rPr>
        <sz val="11"/>
        <color theme="1"/>
        <rFont val="Calibri"/>
        <family val="2"/>
        <scheme val="minor"/>
      </rPr>
      <t>)</t>
    </r>
    <r>
      <rPr>
        <vertAlign val="superscript"/>
        <sz val="11"/>
        <color theme="1"/>
        <rFont val="Calibri"/>
        <family val="2"/>
        <scheme val="minor"/>
      </rPr>
      <t>1.17</t>
    </r>
    <r>
      <rPr>
        <sz val="11"/>
        <color theme="1"/>
        <rFont val="Symbol"/>
        <family val="1"/>
        <charset val="2"/>
      </rPr>
      <t>b</t>
    </r>
    <r>
      <rPr>
        <vertAlign val="superscript"/>
        <sz val="11"/>
        <color theme="1"/>
        <rFont val="Calibri"/>
        <family val="2"/>
        <scheme val="minor"/>
      </rPr>
      <t>1.68</t>
    </r>
    <r>
      <rPr>
        <sz val="11"/>
        <color theme="1"/>
        <rFont val="Calibri"/>
        <family val="2"/>
        <scheme val="minor"/>
      </rPr>
      <t>/N</t>
    </r>
    <r>
      <rPr>
        <vertAlign val="superscript"/>
        <sz val="11"/>
        <color theme="1"/>
        <rFont val="Calibri"/>
        <family val="2"/>
        <scheme val="minor"/>
      </rPr>
      <t>2.42</t>
    </r>
  </si>
  <si>
    <t>uplift, % of Hv</t>
  </si>
  <si>
    <t>uplift</t>
  </si>
  <si>
    <t>uplift, % of Hv*</t>
  </si>
  <si>
    <t>q</t>
  </si>
  <si>
    <t>cfs/ft</t>
  </si>
  <si>
    <t>Hypothetical uplift calculation:</t>
  </si>
  <si>
    <t xml:space="preserve">            % of Hv</t>
  </si>
  <si>
    <t>Hv*</t>
  </si>
  <si>
    <t>Froude</t>
  </si>
  <si>
    <t>…..............FLOW DATA FROM OROVILLE AT FAILURE Q</t>
  </si>
  <si>
    <t>hypothetical</t>
  </si>
  <si>
    <t>Predicted Cd and flow rate for each combination above (assuming fully vented):</t>
  </si>
  <si>
    <t>Cd</t>
  </si>
  <si>
    <t>offsets…</t>
  </si>
  <si>
    <t>gaps</t>
  </si>
  <si>
    <r>
      <t>V</t>
    </r>
    <r>
      <rPr>
        <vertAlign val="subscript"/>
        <sz val="11"/>
        <color theme="1"/>
        <rFont val="Calibri"/>
        <family val="2"/>
        <scheme val="minor"/>
      </rPr>
      <t>gap</t>
    </r>
    <r>
      <rPr>
        <sz val="11"/>
        <color theme="1"/>
        <rFont val="Calibri"/>
        <family val="2"/>
        <scheme val="minor"/>
      </rPr>
      <t>/V</t>
    </r>
    <r>
      <rPr>
        <vertAlign val="subscript"/>
        <sz val="11"/>
        <color theme="1"/>
        <rFont val="Calibri"/>
        <family val="2"/>
        <scheme val="minor"/>
      </rPr>
      <t>chute</t>
    </r>
  </si>
  <si>
    <t>Vgap</t>
  </si>
  <si>
    <t>NEWEST METHODS</t>
  </si>
  <si>
    <t>c</t>
  </si>
  <si>
    <t>FORENSIC RESULT</t>
  </si>
  <si>
    <t>OLD METHOD (early empirical approach in the new study)</t>
  </si>
  <si>
    <t>ENGLISH, transposed</t>
  </si>
  <si>
    <t>METRIC, not transposed</t>
  </si>
  <si>
    <t>FORENSIC</t>
  </si>
  <si>
    <t>METRIC, not transposed (m3/s/m)</t>
  </si>
  <si>
    <r>
      <t xml:space="preserve">Darcy </t>
    </r>
    <r>
      <rPr>
        <i/>
        <sz val="11"/>
        <color theme="1"/>
        <rFont val="Calibri"/>
        <family val="2"/>
        <scheme val="minor"/>
      </rPr>
      <t>f</t>
    </r>
  </si>
  <si>
    <t>offsets</t>
  </si>
  <si>
    <t>gaps ---------------------------------&gt;</t>
  </si>
  <si>
    <t>q, cfs/ft</t>
  </si>
  <si>
    <t>Eq. (7) &gt;&gt;</t>
  </si>
  <si>
    <t>ratio to forensic…</t>
  </si>
  <si>
    <t>1) determine actual q, English</t>
  </si>
  <si>
    <t>2) determine actual Vgap/Vchute</t>
  </si>
  <si>
    <r>
      <t>3) Find Actual C</t>
    </r>
    <r>
      <rPr>
        <vertAlign val="subscript"/>
        <sz val="11"/>
        <color theme="1"/>
        <rFont val="Calibri"/>
        <family val="2"/>
        <scheme val="minor"/>
      </rPr>
      <t>d</t>
    </r>
  </si>
  <si>
    <r>
      <t xml:space="preserve">DATA TABLE of </t>
    </r>
    <r>
      <rPr>
        <sz val="11"/>
        <color theme="1"/>
        <rFont val="Symbol"/>
        <family val="1"/>
        <charset val="2"/>
      </rPr>
      <t>D</t>
    </r>
    <r>
      <rPr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max</t>
    </r>
  </si>
  <si>
    <t>X</t>
  </si>
  <si>
    <t>for 1/8-inch offset, how does it vary by % of flow drained?</t>
  </si>
  <si>
    <t>for 1/4-inch offset…</t>
  </si>
  <si>
    <t>for 1/2-inch offset…</t>
  </si>
  <si>
    <t>% of flow drained</t>
  </si>
  <si>
    <t>gaps&gt;&gt;&gt;</t>
  </si>
  <si>
    <t>1/8</t>
  </si>
  <si>
    <t>1/4</t>
  </si>
  <si>
    <t>1/2</t>
  </si>
  <si>
    <t>1</t>
  </si>
  <si>
    <t>for 1-inch offset…</t>
  </si>
  <si>
    <r>
      <t xml:space="preserve">If actual q is X% of the computed value, what is residual 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  <r>
      <rPr>
        <i/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-</t>
    </r>
    <r>
      <rPr>
        <i/>
        <sz val="11"/>
        <color theme="1"/>
        <rFont val="Calibri"/>
        <family val="2"/>
        <scheme val="minor"/>
      </rPr>
      <t>y</t>
    </r>
    <r>
      <rPr>
        <sz val="11"/>
        <color theme="1"/>
        <rFont val="Calibri"/>
        <family val="2"/>
        <scheme val="minor"/>
      </rPr>
      <t xml:space="preserve"> cos </t>
    </r>
    <r>
      <rPr>
        <sz val="11"/>
        <color theme="1"/>
        <rFont val="Symbol"/>
        <family val="1"/>
        <charset val="2"/>
      </rPr>
      <t>q</t>
    </r>
    <r>
      <rPr>
        <sz val="11"/>
        <color theme="1"/>
        <rFont val="Calibri"/>
        <family val="2"/>
        <scheme val="minor"/>
      </rPr>
      <t xml:space="preserve">, as % of 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>?</t>
    </r>
  </si>
  <si>
    <r>
      <t>4) compute (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  <r>
      <rPr>
        <i/>
        <vertAlign val="sub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)/(</t>
    </r>
    <r>
      <rPr>
        <sz val="11"/>
        <color theme="1"/>
        <rFont val="Symbol"/>
        <family val="1"/>
        <charset val="2"/>
      </rPr>
      <t>D</t>
    </r>
    <r>
      <rPr>
        <i/>
        <sz val="11"/>
        <color theme="1"/>
        <rFont val="Calibri"/>
        <family val="2"/>
        <scheme val="minor"/>
      </rPr>
      <t>H</t>
    </r>
    <r>
      <rPr>
        <vertAlign val="subscript"/>
        <sz val="11"/>
        <color theme="1"/>
        <rFont val="Calibri"/>
        <family val="2"/>
        <scheme val="minor"/>
      </rPr>
      <t>max</t>
    </r>
    <r>
      <rPr>
        <i/>
        <sz val="11"/>
        <color theme="1"/>
        <rFont val="Calibri"/>
        <family val="2"/>
        <scheme val="minor"/>
      </rPr>
      <t xml:space="preserve"> + y </t>
    </r>
    <r>
      <rPr>
        <sz val="11"/>
        <color theme="1"/>
        <rFont val="Calibri"/>
        <family val="2"/>
        <scheme val="minor"/>
      </rPr>
      <t>cos</t>
    </r>
    <r>
      <rPr>
        <i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Symbol"/>
        <family val="1"/>
        <charset val="2"/>
      </rPr>
      <t>q</t>
    </r>
    <r>
      <rPr>
        <i/>
        <sz val="11"/>
        <color theme="1"/>
        <rFont val="Calibri"/>
        <family val="2"/>
        <scheme val="minor"/>
      </rPr>
      <t>)  (residual uplift)</t>
    </r>
  </si>
  <si>
    <t>=(K14:N17+$C$11*COS($C$20)-(AD30:AG33/AN30:AQ33/($Q30:$Q33/12))^2/2/32.17)/(K14:N17+$C$11*COS($C$20))</t>
  </si>
  <si>
    <t>STEP-by-STEP solution at one drainage rate</t>
  </si>
  <si>
    <t>DIRECT solution for residual uplift for different offsets at range of drainage rates</t>
  </si>
  <si>
    <t>1x1/8</t>
  </si>
  <si>
    <t>1/2x1/8</t>
  </si>
  <si>
    <t>1/4x1/8</t>
  </si>
  <si>
    <t>1/8x1/8</t>
  </si>
  <si>
    <t>1/8x1.0</t>
  </si>
  <si>
    <t>1x1.0</t>
  </si>
  <si>
    <t>25 x 3.2</t>
  </si>
  <si>
    <t>25 x 25</t>
  </si>
  <si>
    <t>13 x 3.2</t>
  </si>
  <si>
    <t>6.4 x 3.2</t>
  </si>
  <si>
    <t>3.2 x 3.2</t>
  </si>
  <si>
    <t>3.2 x 25</t>
  </si>
  <si>
    <t>offset x gap (mm)</t>
  </si>
  <si>
    <r>
      <rPr>
        <i/>
        <sz val="11"/>
        <color theme="1"/>
        <rFont val="Calibri"/>
        <family val="2"/>
        <scheme val="minor"/>
      </rPr>
      <t>q</t>
    </r>
    <r>
      <rPr>
        <vertAlign val="subscript"/>
        <sz val="11"/>
        <color theme="1"/>
        <rFont val="Calibri"/>
        <family val="2"/>
        <scheme val="minor"/>
      </rPr>
      <t>max</t>
    </r>
    <r>
      <rPr>
        <sz val="11"/>
        <color theme="1"/>
        <rFont val="Calibri"/>
        <family val="2"/>
        <scheme val="minor"/>
      </rPr>
      <t xml:space="preserve"> 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/s)</t>
    </r>
  </si>
  <si>
    <t>gravity =</t>
  </si>
  <si>
    <r>
      <t>ft/s</t>
    </r>
    <r>
      <rPr>
        <vertAlign val="superscript"/>
        <sz val="11"/>
        <color theme="1"/>
        <rFont val="Calibri"/>
        <family val="2"/>
        <scheme val="minor"/>
      </rPr>
      <t>2</t>
    </r>
  </si>
  <si>
    <t>slab thickness</t>
  </si>
  <si>
    <t>mm</t>
  </si>
  <si>
    <t>coefficients for uplift prediction</t>
  </si>
  <si>
    <t>"b"</t>
  </si>
  <si>
    <r>
      <t xml:space="preserve">"c" </t>
    </r>
    <r>
      <rPr>
        <i/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  <scheme val="minor"/>
      </rPr>
      <t>&lt;0.6</t>
    </r>
  </si>
  <si>
    <r>
      <t>"c" (</t>
    </r>
    <r>
      <rPr>
        <i/>
        <sz val="11"/>
        <color theme="1"/>
        <rFont val="Symbol"/>
        <family val="1"/>
        <charset val="2"/>
      </rPr>
      <t>b</t>
    </r>
    <r>
      <rPr>
        <sz val="11"/>
        <color theme="1"/>
        <rFont val="Calibri"/>
        <family val="2"/>
      </rPr>
      <t>≥</t>
    </r>
    <r>
      <rPr>
        <sz val="11"/>
        <color theme="1"/>
        <rFont val="Calibri"/>
        <family val="2"/>
        <scheme val="minor"/>
      </rPr>
      <t>0.6)</t>
    </r>
  </si>
  <si>
    <t>METRIC, transposed for ASCE JHE1 table</t>
  </si>
  <si>
    <t>shaded portions below are for ASDSO J. of Dam Safety article</t>
  </si>
  <si>
    <t>The legend above is complex.  It is an Excel table that is found to the right 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&gt;</t>
  </si>
  <si>
    <t>SPREADSHEET DOCUMENTATION</t>
  </si>
  <si>
    <t>Author:</t>
  </si>
  <si>
    <t>Tony Wahl</t>
  </si>
  <si>
    <t>Publisher:</t>
  </si>
  <si>
    <t>Bureau of Reclamation</t>
  </si>
  <si>
    <t>Date of publication:</t>
  </si>
  <si>
    <t>RISE Catalog record link:</t>
  </si>
  <si>
    <t>item link (report):</t>
  </si>
  <si>
    <t>item link (data):</t>
  </si>
  <si>
    <t>Purpose:</t>
  </si>
  <si>
    <t>Data source:</t>
  </si>
  <si>
    <t>Period of record:</t>
  </si>
  <si>
    <t>Data description:</t>
  </si>
  <si>
    <t>Data generated by computation from equations developed with physical model constructed and tested in the hydraulics laboratory of the Bureau of Reclamation, Denver, Colorado USA</t>
  </si>
  <si>
    <t>2023 to 2024</t>
  </si>
  <si>
    <t>Two tabs provide essentially the same data, with the axes of plotted results modified to fit the symbols used in different publications.</t>
  </si>
  <si>
    <t>Final report ST-2024-22039 gives a synopsis of final results with links to all published journal articles using these data.</t>
  </si>
  <si>
    <t xml:space="preserve">This workbook computes hypothetical uplift pressures and joint flow rates for the Oroville Dam spillway using given data from the original forensic investigation.  </t>
  </si>
  <si>
    <t>The results were used in data tables and figures in the first and second JHE papers and other publications and presentations.</t>
  </si>
  <si>
    <t>https://data.usbr.gov/catalog/8049</t>
  </si>
  <si>
    <t>https://data.usbr.gov/catalog/8049/item/128747</t>
  </si>
  <si>
    <t>https://data.usbr.gov/catalog/8049/item/128750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</si>
</sst>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%"/>
  </numFmts>
  <fonts count="18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1"/>
      <name val="Symbol"/>
      <family val="1"/>
      <charset val="2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vertAlign val="subscript"/>
      <sz val="11"/>
      <color theme="1"/>
      <name val="Calibri"/>
      <family val="2"/>
      <scheme val="minor"/>
    </font>
    <font>
      <i/>
      <sz val="11"/>
      <color theme="1"/>
      <name val="Symbol"/>
      <family val="1"/>
      <charset val="2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1" applyNumberFormat="0" applyAlignment="0" applyProtection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02">
    <xf numFmtId="0" fontId="0" fillId="0" borderId="0" xfId="0"/>
    <xf numFmtId="0" fontId="0" fillId="0" borderId="0" xfId="0" quotePrefix="1" applyAlignment="1">
      <alignment horizontal="left"/>
    </xf>
    <xf numFmtId="0" fontId="2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1" fillId="2" borderId="1" xfId="1"/>
    <xf numFmtId="0" fontId="1" fillId="2" borderId="1" xfId="1" quotePrefix="1" applyAlignment="1">
      <alignment horizontal="left"/>
    </xf>
    <xf numFmtId="164" fontId="0" fillId="0" borderId="0" xfId="0" applyNumberFormat="1"/>
    <xf numFmtId="2" fontId="0" fillId="0" borderId="0" xfId="0" applyNumberFormat="1"/>
    <xf numFmtId="165" fontId="0" fillId="0" borderId="0" xfId="0" applyNumberFormat="1"/>
    <xf numFmtId="0" fontId="0" fillId="0" borderId="2" xfId="0" applyBorder="1"/>
    <xf numFmtId="0" fontId="0" fillId="3" borderId="2" xfId="0" applyFill="1" applyBorder="1"/>
    <xf numFmtId="0" fontId="5" fillId="0" borderId="0" xfId="0" applyFont="1"/>
    <xf numFmtId="0" fontId="8" fillId="0" borderId="2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2" fontId="7" fillId="0" borderId="8" xfId="0" applyNumberFormat="1" applyFont="1" applyBorder="1"/>
    <xf numFmtId="165" fontId="7" fillId="0" borderId="8" xfId="0" applyNumberFormat="1" applyFont="1" applyBorder="1"/>
    <xf numFmtId="0" fontId="9" fillId="0" borderId="0" xfId="0" applyFont="1"/>
    <xf numFmtId="0" fontId="9" fillId="0" borderId="3" xfId="0" applyFont="1" applyBorder="1"/>
    <xf numFmtId="0" fontId="9" fillId="0" borderId="4" xfId="0" applyFont="1" applyBorder="1"/>
    <xf numFmtId="0" fontId="9" fillId="0" borderId="5" xfId="0" applyNumberFormat="1" applyFont="1" applyBorder="1"/>
    <xf numFmtId="0" fontId="9" fillId="0" borderId="6" xfId="0" applyFont="1" applyBorder="1"/>
    <xf numFmtId="0" fontId="7" fillId="0" borderId="0" xfId="0" applyFont="1"/>
    <xf numFmtId="2" fontId="7" fillId="0" borderId="0" xfId="0" applyNumberFormat="1" applyFont="1"/>
    <xf numFmtId="164" fontId="7" fillId="0" borderId="0" xfId="0" applyNumberFormat="1" applyFont="1"/>
    <xf numFmtId="0" fontId="1" fillId="2" borderId="9" xfId="1" applyBorder="1"/>
    <xf numFmtId="0" fontId="1" fillId="2" borderId="10" xfId="1" applyBorder="1"/>
    <xf numFmtId="0" fontId="0" fillId="3" borderId="0" xfId="0" quotePrefix="1" applyFill="1" applyAlignment="1">
      <alignment horizontal="left"/>
    </xf>
    <xf numFmtId="0" fontId="0" fillId="3" borderId="0" xfId="0" applyFill="1"/>
    <xf numFmtId="9" fontId="0" fillId="0" borderId="0" xfId="0" applyNumberFormat="1"/>
    <xf numFmtId="0" fontId="0" fillId="0" borderId="0" xfId="0" quotePrefix="1" applyAlignment="1">
      <alignment horizontal="right"/>
    </xf>
    <xf numFmtId="16" fontId="0" fillId="0" borderId="0" xfId="0" quotePrefix="1" applyNumberFormat="1" applyAlignment="1">
      <alignment horizontal="right"/>
    </xf>
    <xf numFmtId="9" fontId="0" fillId="0" borderId="0" xfId="2" applyFont="1"/>
    <xf numFmtId="9" fontId="0" fillId="4" borderId="0" xfId="2" applyFont="1" applyFill="1"/>
    <xf numFmtId="10" fontId="0" fillId="0" borderId="0" xfId="2" applyNumberFormat="1" applyFont="1"/>
    <xf numFmtId="0" fontId="0" fillId="5" borderId="0" xfId="0" applyFill="1"/>
    <xf numFmtId="164" fontId="0" fillId="6" borderId="0" xfId="0" applyNumberFormat="1" applyFill="1"/>
    <xf numFmtId="0" fontId="0" fillId="6" borderId="0" xfId="0" applyFill="1"/>
    <xf numFmtId="164" fontId="0" fillId="7" borderId="0" xfId="0" applyNumberFormat="1" applyFill="1"/>
    <xf numFmtId="0" fontId="0" fillId="7" borderId="0" xfId="0" applyFill="1"/>
    <xf numFmtId="0" fontId="0" fillId="0" borderId="0" xfId="2" applyNumberFormat="1" applyFont="1"/>
    <xf numFmtId="9" fontId="1" fillId="2" borderId="1" xfId="1" applyNumberFormat="1"/>
    <xf numFmtId="166" fontId="0" fillId="0" borderId="0" xfId="0" applyNumberFormat="1"/>
    <xf numFmtId="0" fontId="0" fillId="8" borderId="0" xfId="0" quotePrefix="1" applyFill="1" applyBorder="1" applyAlignment="1">
      <alignment horizontal="center"/>
    </xf>
    <xf numFmtId="0" fontId="0" fillId="8" borderId="0" xfId="0" applyFill="1" applyBorder="1" applyAlignment="1">
      <alignment horizontal="center"/>
    </xf>
    <xf numFmtId="0" fontId="0" fillId="8" borderId="15" xfId="0" applyFill="1" applyBorder="1"/>
    <xf numFmtId="164" fontId="0" fillId="8" borderId="0" xfId="0" applyNumberFormat="1" applyFill="1" applyBorder="1" applyAlignment="1">
      <alignment horizontal="center"/>
    </xf>
    <xf numFmtId="0" fontId="0" fillId="8" borderId="17" xfId="0" applyFill="1" applyBorder="1"/>
    <xf numFmtId="0" fontId="0" fillId="8" borderId="11" xfId="0" applyFill="1" applyBorder="1"/>
    <xf numFmtId="0" fontId="0" fillId="8" borderId="12" xfId="0" applyFill="1" applyBorder="1"/>
    <xf numFmtId="0" fontId="0" fillId="8" borderId="13" xfId="0" applyFill="1" applyBorder="1"/>
    <xf numFmtId="0" fontId="0" fillId="8" borderId="14" xfId="0" applyFill="1" applyBorder="1"/>
    <xf numFmtId="0" fontId="0" fillId="8" borderId="14" xfId="0" quotePrefix="1" applyFill="1" applyBorder="1" applyAlignment="1">
      <alignment horizontal="left"/>
    </xf>
    <xf numFmtId="0" fontId="0" fillId="8" borderId="16" xfId="0" applyFill="1" applyBorder="1"/>
    <xf numFmtId="0" fontId="0" fillId="8" borderId="18" xfId="0" applyFill="1" applyBorder="1"/>
    <xf numFmtId="0" fontId="13" fillId="8" borderId="0" xfId="0" quotePrefix="1" applyFont="1" applyFill="1" applyBorder="1" applyAlignment="1">
      <alignment horizontal="center"/>
    </xf>
    <xf numFmtId="0" fontId="0" fillId="8" borderId="0" xfId="0" applyNumberFormat="1" applyFill="1" applyBorder="1" applyAlignment="1">
      <alignment horizontal="center"/>
    </xf>
    <xf numFmtId="0" fontId="14" fillId="8" borderId="0" xfId="0" quotePrefix="1" applyFont="1" applyFill="1" applyBorder="1" applyAlignment="1">
      <alignment horizontal="center"/>
    </xf>
    <xf numFmtId="0" fontId="0" fillId="8" borderId="0" xfId="0" quotePrefix="1" applyFont="1" applyFill="1" applyBorder="1" applyAlignment="1">
      <alignment horizontal="center"/>
    </xf>
    <xf numFmtId="2" fontId="0" fillId="5" borderId="19" xfId="0" applyNumberFormat="1" applyFill="1" applyBorder="1"/>
    <xf numFmtId="2" fontId="0" fillId="5" borderId="20" xfId="0" applyNumberFormat="1" applyFill="1" applyBorder="1"/>
    <xf numFmtId="2" fontId="0" fillId="5" borderId="21" xfId="0" applyNumberFormat="1" applyFill="1" applyBorder="1"/>
    <xf numFmtId="2" fontId="0" fillId="5" borderId="22" xfId="0" applyNumberFormat="1" applyFill="1" applyBorder="1"/>
    <xf numFmtId="2" fontId="0" fillId="5" borderId="0" xfId="0" applyNumberFormat="1" applyFill="1" applyBorder="1"/>
    <xf numFmtId="2" fontId="0" fillId="5" borderId="6" xfId="0" applyNumberFormat="1" applyFill="1" applyBorder="1"/>
    <xf numFmtId="2" fontId="0" fillId="5" borderId="23" xfId="0" applyNumberFormat="1" applyFill="1" applyBorder="1"/>
    <xf numFmtId="2" fontId="0" fillId="5" borderId="4" xfId="0" applyNumberFormat="1" applyFill="1" applyBorder="1"/>
    <xf numFmtId="2" fontId="0" fillId="5" borderId="24" xfId="0" applyNumberFormat="1" applyFill="1" applyBorder="1"/>
    <xf numFmtId="164" fontId="0" fillId="0" borderId="19" xfId="0" applyNumberFormat="1" applyBorder="1"/>
    <xf numFmtId="164" fontId="0" fillId="0" borderId="20" xfId="0" applyNumberFormat="1" applyBorder="1"/>
    <xf numFmtId="164" fontId="0" fillId="0" borderId="21" xfId="0" applyNumberFormat="1" applyBorder="1"/>
    <xf numFmtId="164" fontId="0" fillId="0" borderId="22" xfId="0" applyNumberFormat="1" applyBorder="1"/>
    <xf numFmtId="164" fontId="0" fillId="0" borderId="0" xfId="0" applyNumberFormat="1" applyBorder="1"/>
    <xf numFmtId="164" fontId="0" fillId="0" borderId="6" xfId="0" applyNumberFormat="1" applyBorder="1"/>
    <xf numFmtId="164" fontId="0" fillId="0" borderId="23" xfId="0" applyNumberFormat="1" applyBorder="1"/>
    <xf numFmtId="164" fontId="0" fillId="0" borderId="4" xfId="0" applyNumberFormat="1" applyBorder="1"/>
    <xf numFmtId="164" fontId="0" fillId="0" borderId="24" xfId="0" applyNumberFormat="1" applyBorder="1"/>
    <xf numFmtId="0" fontId="0" fillId="0" borderId="0" xfId="0" quotePrefix="1" applyAlignment="1">
      <alignment horizontal="center"/>
    </xf>
    <xf numFmtId="0" fontId="6" fillId="0" borderId="8" xfId="0" applyFont="1" applyBorder="1"/>
    <xf numFmtId="0" fontId="0" fillId="0" borderId="8" xfId="0" applyBorder="1"/>
    <xf numFmtId="0" fontId="0" fillId="0" borderId="0" xfId="0" applyBorder="1"/>
    <xf numFmtId="2" fontId="0" fillId="9" borderId="0" xfId="0" applyNumberFormat="1" applyFill="1"/>
    <xf numFmtId="165" fontId="0" fillId="9" borderId="0" xfId="0" applyNumberFormat="1" applyFill="1"/>
    <xf numFmtId="0" fontId="0" fillId="9" borderId="0" xfId="0" applyFill="1"/>
    <xf numFmtId="0" fontId="0" fillId="8" borderId="0" xfId="0" applyFill="1" applyBorder="1"/>
    <xf numFmtId="0" fontId="0" fillId="8" borderId="0" xfId="0" quotePrefix="1" applyFill="1" applyBorder="1" applyAlignment="1">
      <alignment horizontal="left"/>
    </xf>
    <xf numFmtId="0" fontId="17" fillId="0" borderId="0" xfId="0" quotePrefix="1" applyFont="1" applyAlignment="1">
      <alignment horizontal="left"/>
    </xf>
    <xf numFmtId="14" fontId="0" fillId="0" borderId="0" xfId="0" applyNumberFormat="1"/>
    <xf numFmtId="0" fontId="7" fillId="0" borderId="0" xfId="0" quotePrefix="1" applyFont="1" applyAlignment="1">
      <alignment horizontal="left"/>
    </xf>
    <xf numFmtId="0" fontId="16" fillId="0" borderId="0" xfId="3"/>
    <xf numFmtId="0" fontId="7" fillId="0" borderId="0" xfId="0" quotePrefix="1" applyFont="1" applyAlignment="1">
      <alignment horizontal="right"/>
    </xf>
    <xf numFmtId="0" fontId="16" fillId="0" borderId="0" xfId="3" quotePrefix="1" applyAlignment="1">
      <alignment horizontal="left"/>
    </xf>
    <xf numFmtId="0" fontId="9" fillId="0" borderId="5" xfId="0" applyFont="1" applyBorder="1"/>
    <xf numFmtId="2" fontId="0" fillId="5" borderId="0" xfId="0" applyNumberFormat="1" applyFill="1"/>
    <xf numFmtId="0" fontId="0" fillId="8" borderId="0" xfId="0" applyFill="1"/>
    <xf numFmtId="0" fontId="14" fillId="8" borderId="0" xfId="0" quotePrefix="1" applyFont="1" applyFill="1" applyAlignment="1">
      <alignment horizontal="center"/>
    </xf>
    <xf numFmtId="0" fontId="13" fillId="8" borderId="0" xfId="0" quotePrefix="1" applyFont="1" applyFill="1" applyAlignment="1">
      <alignment horizontal="center"/>
    </xf>
    <xf numFmtId="0" fontId="0" fillId="8" borderId="0" xfId="0" quotePrefix="1" applyFill="1" applyAlignment="1">
      <alignment horizontal="center"/>
    </xf>
    <xf numFmtId="0" fontId="0" fillId="8" borderId="0" xfId="0" applyFill="1" applyAlignment="1">
      <alignment horizontal="center"/>
    </xf>
    <xf numFmtId="164" fontId="0" fillId="8" borderId="0" xfId="0" applyNumberFormat="1" applyFill="1" applyAlignment="1">
      <alignment horizontal="center"/>
    </xf>
    <xf numFmtId="0" fontId="0" fillId="8" borderId="0" xfId="0" quotePrefix="1" applyFill="1" applyAlignment="1">
      <alignment horizontal="left"/>
    </xf>
  </cellXfs>
  <cellStyles count="4">
    <cellStyle name="Hyperlink" xfId="3" builtinId="8"/>
    <cellStyle name="Input" xfId="1" builtinId="20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38713079690601"/>
          <c:y val="3.8539835428638959E-2"/>
          <c:w val="0.81881014873140856"/>
          <c:h val="0.79755531262156953"/>
        </c:manualLayout>
      </c:layout>
      <c:scatterChart>
        <c:scatterStyle val="smoothMarker"/>
        <c:varyColors val="0"/>
        <c:ser>
          <c:idx val="3"/>
          <c:order val="0"/>
          <c:tx>
            <c:v>25-mm offset, 3.2-mm gap, β = 0.125</c:v>
          </c:tx>
          <c:spPr>
            <a:ln w="952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'JHE2'!$AD$37:$AQ$37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'JHE2'!$AD$59:$AQ$59</c:f>
              <c:numCache>
                <c:formatCode>0%</c:formatCode>
                <c:ptCount val="14"/>
                <c:pt idx="0">
                  <c:v>0.99969379114773382</c:v>
                </c:pt>
                <c:pt idx="1">
                  <c:v>0.9699780822224715</c:v>
                </c:pt>
                <c:pt idx="2">
                  <c:v>0.94106727537169566</c:v>
                </c:pt>
                <c:pt idx="3">
                  <c:v>0.91011176864101972</c:v>
                </c:pt>
                <c:pt idx="4">
                  <c:v>0.88071511947084702</c:v>
                </c:pt>
                <c:pt idx="5">
                  <c:v>0.84889941054556373</c:v>
                </c:pt>
                <c:pt idx="6">
                  <c:v>0.77505467599112554</c:v>
                </c:pt>
                <c:pt idx="7">
                  <c:v>0.68635548898584509</c:v>
                </c:pt>
                <c:pt idx="8">
                  <c:v>0.58234214380730021</c:v>
                </c:pt>
                <c:pt idx="9">
                  <c:v>0.46283941049505994</c:v>
                </c:pt>
                <c:pt idx="10">
                  <c:v>0.32775411535117549</c:v>
                </c:pt>
                <c:pt idx="11">
                  <c:v>0.17702640629491792</c:v>
                </c:pt>
                <c:pt idx="12">
                  <c:v>1.0613397971245126E-2</c:v>
                </c:pt>
                <c:pt idx="13">
                  <c:v>-0.17151773583348109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B0C-45E0-995A-1BF623F8B1F8}"/>
            </c:ext>
          </c:extLst>
        </c:ser>
        <c:ser>
          <c:idx val="6"/>
          <c:order val="1"/>
          <c:tx>
            <c:v>25-mm offset, 25-mm gap, β = 1</c:v>
          </c:tx>
          <c:spPr>
            <a:ln w="952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'JHE2'!$AD$37:$AQ$37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'JHE2'!$AD$62:$AQ$62</c:f>
              <c:numCache>
                <c:formatCode>0%</c:formatCode>
                <c:ptCount val="14"/>
                <c:pt idx="0">
                  <c:v>0.99969387980711444</c:v>
                </c:pt>
                <c:pt idx="1">
                  <c:v>0.96885350158746775</c:v>
                </c:pt>
                <c:pt idx="2">
                  <c:v>0.93816716284862234</c:v>
                </c:pt>
                <c:pt idx="3">
                  <c:v>0.90576671339684933</c:v>
                </c:pt>
                <c:pt idx="4">
                  <c:v>0.87549567743931445</c:v>
                </c:pt>
                <c:pt idx="5">
                  <c:v>0.8429870254537799</c:v>
                </c:pt>
                <c:pt idx="6">
                  <c:v>0.76796894577664943</c:v>
                </c:pt>
                <c:pt idx="7">
                  <c:v>0.67823859733941894</c:v>
                </c:pt>
                <c:pt idx="8">
                  <c:v>0.57328804394686428</c:v>
                </c:pt>
                <c:pt idx="9">
                  <c:v>0.4529272156551104</c:v>
                </c:pt>
                <c:pt idx="10">
                  <c:v>0.31705686107590353</c:v>
                </c:pt>
                <c:pt idx="11">
                  <c:v>0.16561406820839583</c:v>
                </c:pt>
                <c:pt idx="12">
                  <c:v>-1.4458529680439725E-3</c:v>
                </c:pt>
                <c:pt idx="13">
                  <c:v>-0.18415692925680041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B0C-45E0-995A-1BF623F8B1F8}"/>
            </c:ext>
          </c:extLst>
        </c:ser>
        <c:ser>
          <c:idx val="2"/>
          <c:order val="2"/>
          <c:tx>
            <c:v>13-mm offset, 3.2-mm gap, β = 0.25</c:v>
          </c:tx>
          <c:spPr>
            <a:ln w="12700" cap="rnd">
              <a:solidFill>
                <a:schemeClr val="tx1"/>
              </a:solidFill>
              <a:prstDash val="lgDashDotDot"/>
              <a:round/>
              <a:headEnd type="none" w="sm" len="med"/>
            </a:ln>
            <a:effectLst/>
          </c:spPr>
          <c:marker>
            <c:symbol val="none"/>
          </c:marker>
          <c:xVal>
            <c:numRef>
              <c:f>'JHE2'!$AD$37:$AQ$37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'JHE2'!$AD$52:$AQ$52</c:f>
              <c:numCache>
                <c:formatCode>0%</c:formatCode>
                <c:ptCount val="14"/>
                <c:pt idx="0">
                  <c:v>0.99969376450746794</c:v>
                </c:pt>
                <c:pt idx="1">
                  <c:v>0.96350714496272172</c:v>
                </c:pt>
                <c:pt idx="2">
                  <c:v>0.9234323737756831</c:v>
                </c:pt>
                <c:pt idx="3">
                  <c:v>0.8830674970180461</c:v>
                </c:pt>
                <c:pt idx="4">
                  <c:v>0.84803813980835419</c:v>
                </c:pt>
                <c:pt idx="5">
                  <c:v>0.81181849092345559</c:v>
                </c:pt>
                <c:pt idx="6">
                  <c:v>0.73056203642809181</c:v>
                </c:pt>
                <c:pt idx="7">
                  <c:v>0.63531051442629771</c:v>
                </c:pt>
                <c:pt idx="8">
                  <c:v>0.52525593257481396</c:v>
                </c:pt>
                <c:pt idx="9">
                  <c:v>0.40011519327357303</c:v>
                </c:pt>
                <c:pt idx="10">
                  <c:v>0.2597513491411258</c:v>
                </c:pt>
                <c:pt idx="11">
                  <c:v>0.10408298470555173</c:v>
                </c:pt>
                <c:pt idx="12">
                  <c:v>-6.6945131979648811E-2</c:v>
                </c:pt>
                <c:pt idx="13">
                  <c:v>-0.2533737847846172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B0C-45E0-995A-1BF623F8B1F8}"/>
            </c:ext>
          </c:extLst>
        </c:ser>
        <c:ser>
          <c:idx val="1"/>
          <c:order val="3"/>
          <c:tx>
            <c:v>6.4-mm offset, 3.2-mm gap, β = 0.5</c:v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'JHE2'!$AD$37:$AQ$37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'JHE2'!$AD$45:$AQ$45</c:f>
              <c:numCache>
                <c:formatCode>0%</c:formatCode>
                <c:ptCount val="14"/>
                <c:pt idx="0">
                  <c:v>0.99969111267404309</c:v>
                </c:pt>
                <c:pt idx="1">
                  <c:v>0.95618381111229878</c:v>
                </c:pt>
                <c:pt idx="2">
                  <c:v>0.90079962339407715</c:v>
                </c:pt>
                <c:pt idx="3">
                  <c:v>0.84624118433093642</c:v>
                </c:pt>
                <c:pt idx="4">
                  <c:v>0.80277746844542708</c:v>
                </c:pt>
                <c:pt idx="5">
                  <c:v>0.76013490566541064</c:v>
                </c:pt>
                <c:pt idx="6">
                  <c:v>0.66824175329805213</c:v>
                </c:pt>
                <c:pt idx="7">
                  <c:v>0.56351067922830445</c:v>
                </c:pt>
                <c:pt idx="8">
                  <c:v>0.44448465735692255</c:v>
                </c:pt>
                <c:pt idx="9">
                  <c:v>0.31067442880555662</c:v>
                </c:pt>
                <c:pt idx="10">
                  <c:v>0.16185958604590731</c:v>
                </c:pt>
                <c:pt idx="11">
                  <c:v>-2.0813522617787123E-3</c:v>
                </c:pt>
                <c:pt idx="12">
                  <c:v>-0.18122556443918569</c:v>
                </c:pt>
                <c:pt idx="13">
                  <c:v>-0.37562721547730382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B0C-45E0-995A-1BF623F8B1F8}"/>
            </c:ext>
          </c:extLst>
        </c:ser>
        <c:ser>
          <c:idx val="0"/>
          <c:order val="4"/>
          <c:tx>
            <c:v>3.2-mm offset, 3.2-mm gap, β = 1</c:v>
          </c:tx>
          <c:spPr>
            <a:ln w="19050" cap="rnd">
              <a:solidFill>
                <a:schemeClr val="tx1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'JHE2'!$AD$37:$AQ$37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'JHE2'!$AD$38:$AQ$38</c:f>
              <c:numCache>
                <c:formatCode>0%</c:formatCode>
                <c:ptCount val="14"/>
                <c:pt idx="0">
                  <c:v>0.99968276329516947</c:v>
                </c:pt>
                <c:pt idx="1">
                  <c:v>0.94758098885749698</c:v>
                </c:pt>
                <c:pt idx="2">
                  <c:v>0.87123891036234125</c:v>
                </c:pt>
                <c:pt idx="3">
                  <c:v>0.79500441377702935</c:v>
                </c:pt>
                <c:pt idx="4">
                  <c:v>0.73842823680501934</c:v>
                </c:pt>
                <c:pt idx="5">
                  <c:v>0.68595808072769582</c:v>
                </c:pt>
                <c:pt idx="6">
                  <c:v>0.57805355003847936</c:v>
                </c:pt>
                <c:pt idx="7">
                  <c:v>0.45904545625950516</c:v>
                </c:pt>
                <c:pt idx="8">
                  <c:v>0.32628558220945919</c:v>
                </c:pt>
                <c:pt idx="9">
                  <c:v>0.17889254195631807</c:v>
                </c:pt>
                <c:pt idx="10">
                  <c:v>1.6484850681893606E-2</c:v>
                </c:pt>
                <c:pt idx="11">
                  <c:v>-0.16113614708682389</c:v>
                </c:pt>
                <c:pt idx="12">
                  <c:v>-0.35408920308990621</c:v>
                </c:pt>
                <c:pt idx="13">
                  <c:v>-0.56245310512733837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B0C-45E0-995A-1BF623F8B1F8}"/>
            </c:ext>
          </c:extLst>
        </c:ser>
        <c:ser>
          <c:idx val="7"/>
          <c:order val="5"/>
          <c:tx>
            <c:v>3.2-mm offset, 25-mm gap, β = 8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'JHE2'!$AD$37:$AQ$37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'JHE2'!$AD$41:$AQ$41</c:f>
              <c:numCache>
                <c:formatCode>0%</c:formatCode>
                <c:ptCount val="14"/>
                <c:pt idx="0">
                  <c:v>0.99966300435510624</c:v>
                </c:pt>
                <c:pt idx="1">
                  <c:v>0.93637722194714768</c:v>
                </c:pt>
                <c:pt idx="2">
                  <c:v>0.82994053106351484</c:v>
                </c:pt>
                <c:pt idx="3">
                  <c:v>0.71899412637655469</c:v>
                </c:pt>
                <c:pt idx="4">
                  <c:v>0.64063335664444909</c:v>
                </c:pt>
                <c:pt idx="5">
                  <c:v>0.57189749264231038</c:v>
                </c:pt>
                <c:pt idx="6">
                  <c:v>0.43782347829495161</c:v>
                </c:pt>
                <c:pt idx="7">
                  <c:v>0.29557657194393105</c:v>
                </c:pt>
                <c:pt idx="8">
                  <c:v>0.14027504806188831</c:v>
                </c:pt>
                <c:pt idx="9">
                  <c:v>-2.9728437848753914E-2</c:v>
                </c:pt>
                <c:pt idx="10">
                  <c:v>-0.2151372365013563</c:v>
                </c:pt>
                <c:pt idx="11">
                  <c:v>-0.41630582811605538</c:v>
                </c:pt>
                <c:pt idx="12">
                  <c:v>-0.63343690429882538</c:v>
                </c:pt>
                <c:pt idx="13">
                  <c:v>-0.86665849915555948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B0C-45E0-995A-1BF623F8B1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9692751"/>
        <c:axId val="797380175"/>
      </c:scatterChart>
      <c:valAx>
        <c:axId val="439692751"/>
        <c:scaling>
          <c:orientation val="minMax"/>
          <c:max val="1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Drainage Relative to Fully Vented Joint Flow, 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q</a:t>
                </a:r>
                <a:r>
                  <a:rPr lang="en-US">
                    <a:solidFill>
                      <a:sysClr val="windowText" lastClr="000000"/>
                    </a:solidFill>
                  </a:rPr>
                  <a:t>/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q</a:t>
                </a:r>
                <a:r>
                  <a:rPr lang="en-US" baseline="-25000">
                    <a:solidFill>
                      <a:sysClr val="windowText" lastClr="000000"/>
                    </a:solidFill>
                  </a:rPr>
                  <a:t>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380175"/>
        <c:crosses val="autoZero"/>
        <c:crossBetween val="midCat"/>
        <c:minorUnit val="0.1"/>
      </c:valAx>
      <c:valAx>
        <c:axId val="797380175"/>
        <c:scaling>
          <c:orientation val="minMax"/>
          <c:max val="1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Uplift Relative to No-Drainage Case, </a:t>
                </a:r>
                <a:r>
                  <a:rPr lang="en-US">
                    <a:solidFill>
                      <a:sysClr val="windowText" lastClr="000000"/>
                    </a:solidFill>
                    <a:latin typeface="Symbol" panose="05050102010706020507" pitchFamily="18" charset="2"/>
                  </a:rPr>
                  <a:t>D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H</a:t>
                </a:r>
                <a:r>
                  <a:rPr lang="en-US">
                    <a:solidFill>
                      <a:sysClr val="windowText" lastClr="000000"/>
                    </a:solidFill>
                  </a:rPr>
                  <a:t> / </a:t>
                </a:r>
                <a:r>
                  <a:rPr lang="en-US">
                    <a:solidFill>
                      <a:sysClr val="windowText" lastClr="000000"/>
                    </a:solidFill>
                    <a:latin typeface="Symbol" panose="05050102010706020507" pitchFamily="18" charset="2"/>
                  </a:rPr>
                  <a:t>D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H</a:t>
                </a:r>
                <a:r>
                  <a:rPr lang="en-US" baseline="-25000">
                    <a:solidFill>
                      <a:sysClr val="windowText" lastClr="000000"/>
                    </a:solidFill>
                  </a:rPr>
                  <a:t>max</a:t>
                </a:r>
                <a:r>
                  <a:rPr lang="en-US">
                    <a:solidFill>
                      <a:sysClr val="windowText" lastClr="000000"/>
                    </a:solidFill>
                  </a:rPr>
                  <a:t> </a:t>
                </a:r>
              </a:p>
            </c:rich>
          </c:tx>
          <c:layout>
            <c:manualLayout>
              <c:xMode val="edge"/>
              <c:yMode val="edge"/>
              <c:x val="1.916871789989982E-2"/>
              <c:y val="0.112491266649373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692751"/>
        <c:crosses val="autoZero"/>
        <c:crossBetween val="midCat"/>
        <c:majorUnit val="0.2"/>
        <c:minorUnit val="0.1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54463287080479361"/>
          <c:y val="8.8098065671282505E-2"/>
          <c:w val="0.39535353764232706"/>
          <c:h val="0.21571491356481262"/>
        </c:manualLayout>
      </c:layout>
      <c:overlay val="1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438713079690601"/>
          <c:y val="3.8539835428638959E-2"/>
          <c:w val="0.81881014873140856"/>
          <c:h val="0.79755531262156953"/>
        </c:manualLayout>
      </c:layout>
      <c:scatterChart>
        <c:scatterStyle val="smoothMarker"/>
        <c:varyColors val="0"/>
        <c:ser>
          <c:idx val="3"/>
          <c:order val="0"/>
          <c:tx>
            <c:v>25-mm offset, 3.2-mm gap, β = 0.125</c:v>
          </c:tx>
          <c:spPr>
            <a:ln w="9525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'EM46'!$AD$37:$AQ$37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'EM46'!$AD$59:$AQ$59</c:f>
              <c:numCache>
                <c:formatCode>0%</c:formatCode>
                <c:ptCount val="14"/>
                <c:pt idx="0">
                  <c:v>0.99969379114773382</c:v>
                </c:pt>
                <c:pt idx="1">
                  <c:v>0.9699780822224715</c:v>
                </c:pt>
                <c:pt idx="2">
                  <c:v>0.94106727537169566</c:v>
                </c:pt>
                <c:pt idx="3">
                  <c:v>0.91011176864101972</c:v>
                </c:pt>
                <c:pt idx="4">
                  <c:v>0.88071511947084702</c:v>
                </c:pt>
                <c:pt idx="5">
                  <c:v>0.84889941054556373</c:v>
                </c:pt>
                <c:pt idx="6">
                  <c:v>0.77505467599112554</c:v>
                </c:pt>
                <c:pt idx="7">
                  <c:v>0.68635548898584509</c:v>
                </c:pt>
                <c:pt idx="8">
                  <c:v>0.58234214380730021</c:v>
                </c:pt>
                <c:pt idx="9">
                  <c:v>0.46283941049505994</c:v>
                </c:pt>
                <c:pt idx="10">
                  <c:v>0.32775411535117549</c:v>
                </c:pt>
                <c:pt idx="11">
                  <c:v>0.17702640629491792</c:v>
                </c:pt>
                <c:pt idx="12">
                  <c:v>1.0613397971245126E-2</c:v>
                </c:pt>
                <c:pt idx="13">
                  <c:v>-0.17151773583348109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9A-49EB-A7F3-9DC61C22A0D9}"/>
            </c:ext>
          </c:extLst>
        </c:ser>
        <c:ser>
          <c:idx val="6"/>
          <c:order val="1"/>
          <c:tx>
            <c:v>25-mm offset, 25-mm gap, β = 1</c:v>
          </c:tx>
          <c:spPr>
            <a:ln w="9525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xVal>
            <c:numRef>
              <c:f>'EM46'!$AD$37:$AQ$37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'EM46'!$AD$62:$AQ$62</c:f>
              <c:numCache>
                <c:formatCode>0%</c:formatCode>
                <c:ptCount val="14"/>
                <c:pt idx="0">
                  <c:v>0.99969387980711444</c:v>
                </c:pt>
                <c:pt idx="1">
                  <c:v>0.96885350158746775</c:v>
                </c:pt>
                <c:pt idx="2">
                  <c:v>0.93816716284862234</c:v>
                </c:pt>
                <c:pt idx="3">
                  <c:v>0.90576671339684933</c:v>
                </c:pt>
                <c:pt idx="4">
                  <c:v>0.87549567743931445</c:v>
                </c:pt>
                <c:pt idx="5">
                  <c:v>0.8429870254537799</c:v>
                </c:pt>
                <c:pt idx="6">
                  <c:v>0.76796894577664943</c:v>
                </c:pt>
                <c:pt idx="7">
                  <c:v>0.67823859733941894</c:v>
                </c:pt>
                <c:pt idx="8">
                  <c:v>0.57328804394686428</c:v>
                </c:pt>
                <c:pt idx="9">
                  <c:v>0.4529272156551104</c:v>
                </c:pt>
                <c:pt idx="10">
                  <c:v>0.31705686107590353</c:v>
                </c:pt>
                <c:pt idx="11">
                  <c:v>0.16561406820839583</c:v>
                </c:pt>
                <c:pt idx="12">
                  <c:v>-1.4458529680439725E-3</c:v>
                </c:pt>
                <c:pt idx="13">
                  <c:v>-0.18415692925680041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9A-49EB-A7F3-9DC61C22A0D9}"/>
            </c:ext>
          </c:extLst>
        </c:ser>
        <c:ser>
          <c:idx val="2"/>
          <c:order val="2"/>
          <c:tx>
            <c:v>13-mm offset, 3.2-mm gap, β = 0.25</c:v>
          </c:tx>
          <c:spPr>
            <a:ln w="12700" cap="rnd">
              <a:solidFill>
                <a:schemeClr val="tx1"/>
              </a:solidFill>
              <a:prstDash val="lgDashDotDot"/>
              <a:round/>
              <a:headEnd type="none" w="sm" len="med"/>
            </a:ln>
            <a:effectLst/>
          </c:spPr>
          <c:marker>
            <c:symbol val="none"/>
          </c:marker>
          <c:xVal>
            <c:numRef>
              <c:f>'EM46'!$AD$37:$AQ$37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'EM46'!$AD$52:$AQ$52</c:f>
              <c:numCache>
                <c:formatCode>0%</c:formatCode>
                <c:ptCount val="14"/>
                <c:pt idx="0">
                  <c:v>0.99969376450746794</c:v>
                </c:pt>
                <c:pt idx="1">
                  <c:v>0.96350714496272172</c:v>
                </c:pt>
                <c:pt idx="2">
                  <c:v>0.9234323737756831</c:v>
                </c:pt>
                <c:pt idx="3">
                  <c:v>0.8830674970180461</c:v>
                </c:pt>
                <c:pt idx="4">
                  <c:v>0.84803813980835419</c:v>
                </c:pt>
                <c:pt idx="5">
                  <c:v>0.81181849092345559</c:v>
                </c:pt>
                <c:pt idx="6">
                  <c:v>0.73056203642809181</c:v>
                </c:pt>
                <c:pt idx="7">
                  <c:v>0.63531051442629771</c:v>
                </c:pt>
                <c:pt idx="8">
                  <c:v>0.52525593257481396</c:v>
                </c:pt>
                <c:pt idx="9">
                  <c:v>0.40011519327357303</c:v>
                </c:pt>
                <c:pt idx="10">
                  <c:v>0.2597513491411258</c:v>
                </c:pt>
                <c:pt idx="11">
                  <c:v>0.10408298470555173</c:v>
                </c:pt>
                <c:pt idx="12">
                  <c:v>-6.6945131979648811E-2</c:v>
                </c:pt>
                <c:pt idx="13">
                  <c:v>-0.2533737847846172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9A-49EB-A7F3-9DC61C22A0D9}"/>
            </c:ext>
          </c:extLst>
        </c:ser>
        <c:ser>
          <c:idx val="1"/>
          <c:order val="3"/>
          <c:tx>
            <c:v>6.4-mm offset, 3.2-mm gap, β = 0.5</c:v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'EM46'!$AD$37:$AQ$37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'EM46'!$AD$45:$AQ$45</c:f>
              <c:numCache>
                <c:formatCode>0%</c:formatCode>
                <c:ptCount val="14"/>
                <c:pt idx="0">
                  <c:v>0.99969111267404309</c:v>
                </c:pt>
                <c:pt idx="1">
                  <c:v>0.95618381111229878</c:v>
                </c:pt>
                <c:pt idx="2">
                  <c:v>0.90079962339407715</c:v>
                </c:pt>
                <c:pt idx="3">
                  <c:v>0.84624118433093642</c:v>
                </c:pt>
                <c:pt idx="4">
                  <c:v>0.80277746844542708</c:v>
                </c:pt>
                <c:pt idx="5">
                  <c:v>0.76013490566541064</c:v>
                </c:pt>
                <c:pt idx="6">
                  <c:v>0.66824175329805213</c:v>
                </c:pt>
                <c:pt idx="7">
                  <c:v>0.56351067922830445</c:v>
                </c:pt>
                <c:pt idx="8">
                  <c:v>0.44448465735692255</c:v>
                </c:pt>
                <c:pt idx="9">
                  <c:v>0.31067442880555662</c:v>
                </c:pt>
                <c:pt idx="10">
                  <c:v>0.16185958604590731</c:v>
                </c:pt>
                <c:pt idx="11">
                  <c:v>-2.0813522617787123E-3</c:v>
                </c:pt>
                <c:pt idx="12">
                  <c:v>-0.18122556443918569</c:v>
                </c:pt>
                <c:pt idx="13">
                  <c:v>-0.37562721547730382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9A-49EB-A7F3-9DC61C22A0D9}"/>
            </c:ext>
          </c:extLst>
        </c:ser>
        <c:ser>
          <c:idx val="0"/>
          <c:order val="4"/>
          <c:tx>
            <c:v>3.2-mm offset, 3.2-mm gap, β = 1</c:v>
          </c:tx>
          <c:spPr>
            <a:ln w="19050" cap="rnd">
              <a:solidFill>
                <a:schemeClr val="tx1"/>
              </a:solidFill>
              <a:prstDash val="lgDashDot"/>
              <a:round/>
            </a:ln>
            <a:effectLst/>
          </c:spPr>
          <c:marker>
            <c:symbol val="none"/>
          </c:marker>
          <c:xVal>
            <c:numRef>
              <c:f>'EM46'!$AD$37:$AQ$37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'EM46'!$AD$38:$AQ$38</c:f>
              <c:numCache>
                <c:formatCode>0%</c:formatCode>
                <c:ptCount val="14"/>
                <c:pt idx="0">
                  <c:v>0.99968276329516947</c:v>
                </c:pt>
                <c:pt idx="1">
                  <c:v>0.94758098885749698</c:v>
                </c:pt>
                <c:pt idx="2">
                  <c:v>0.87123891036234125</c:v>
                </c:pt>
                <c:pt idx="3">
                  <c:v>0.79500441377702935</c:v>
                </c:pt>
                <c:pt idx="4">
                  <c:v>0.73842823680501934</c:v>
                </c:pt>
                <c:pt idx="5">
                  <c:v>0.68595808072769582</c:v>
                </c:pt>
                <c:pt idx="6">
                  <c:v>0.57805355003847936</c:v>
                </c:pt>
                <c:pt idx="7">
                  <c:v>0.45904545625950516</c:v>
                </c:pt>
                <c:pt idx="8">
                  <c:v>0.32628558220945919</c:v>
                </c:pt>
                <c:pt idx="9">
                  <c:v>0.17889254195631807</c:v>
                </c:pt>
                <c:pt idx="10">
                  <c:v>1.6484850681893606E-2</c:v>
                </c:pt>
                <c:pt idx="11">
                  <c:v>-0.16113614708682389</c:v>
                </c:pt>
                <c:pt idx="12">
                  <c:v>-0.35408920308990621</c:v>
                </c:pt>
                <c:pt idx="13">
                  <c:v>-0.56245310512733837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9A-49EB-A7F3-9DC61C22A0D9}"/>
            </c:ext>
          </c:extLst>
        </c:ser>
        <c:ser>
          <c:idx val="7"/>
          <c:order val="5"/>
          <c:tx>
            <c:v>3.2-mm offset, 25-mm gap, β = 8</c:v>
          </c:tx>
          <c:spPr>
            <a:ln w="254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'EM46'!$AD$37:$AQ$37</c:f>
              <c:numCache>
                <c:formatCode>0%</c:formatCode>
                <c:ptCount val="14"/>
                <c:pt idx="0" formatCode="0.0%">
                  <c:v>1E-3</c:v>
                </c:pt>
                <c:pt idx="1">
                  <c:v>0.02</c:v>
                </c:pt>
                <c:pt idx="2">
                  <c:v>0.05</c:v>
                </c:pt>
                <c:pt idx="3">
                  <c:v>0.1</c:v>
                </c:pt>
                <c:pt idx="4">
                  <c:v>0.15</c:v>
                </c:pt>
                <c:pt idx="5">
                  <c:v>0.2</c:v>
                </c:pt>
                <c:pt idx="6">
                  <c:v>0.30000000000000004</c:v>
                </c:pt>
                <c:pt idx="7">
                  <c:v>0.4</c:v>
                </c:pt>
                <c:pt idx="8">
                  <c:v>0.5</c:v>
                </c:pt>
                <c:pt idx="9">
                  <c:v>0.6</c:v>
                </c:pt>
                <c:pt idx="10">
                  <c:v>0.7</c:v>
                </c:pt>
                <c:pt idx="11">
                  <c:v>0.79999999999999993</c:v>
                </c:pt>
                <c:pt idx="12">
                  <c:v>0.89999999999999991</c:v>
                </c:pt>
                <c:pt idx="13">
                  <c:v>1</c:v>
                </c:pt>
              </c:numCache>
            </c:numRef>
          </c:xVal>
          <c:yVal>
            <c:numRef>
              <c:f>'EM46'!$AD$41:$AQ$41</c:f>
              <c:numCache>
                <c:formatCode>0%</c:formatCode>
                <c:ptCount val="14"/>
                <c:pt idx="0">
                  <c:v>0.99966300435510624</c:v>
                </c:pt>
                <c:pt idx="1">
                  <c:v>0.93637722194714768</c:v>
                </c:pt>
                <c:pt idx="2">
                  <c:v>0.82994053106351484</c:v>
                </c:pt>
                <c:pt idx="3">
                  <c:v>0.71899412637655469</c:v>
                </c:pt>
                <c:pt idx="4">
                  <c:v>0.64063335664444909</c:v>
                </c:pt>
                <c:pt idx="5">
                  <c:v>0.57189749264231038</c:v>
                </c:pt>
                <c:pt idx="6">
                  <c:v>0.43782347829495161</c:v>
                </c:pt>
                <c:pt idx="7">
                  <c:v>0.29557657194393105</c:v>
                </c:pt>
                <c:pt idx="8">
                  <c:v>0.14027504806188831</c:v>
                </c:pt>
                <c:pt idx="9">
                  <c:v>-2.9728437848753914E-2</c:v>
                </c:pt>
                <c:pt idx="10">
                  <c:v>-0.2151372365013563</c:v>
                </c:pt>
                <c:pt idx="11">
                  <c:v>-0.41630582811605538</c:v>
                </c:pt>
                <c:pt idx="12">
                  <c:v>-0.63343690429882538</c:v>
                </c:pt>
                <c:pt idx="13">
                  <c:v>-0.86665849915555948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5DB-46E5-9183-F760612158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9692751"/>
        <c:axId val="797380175"/>
      </c:scatterChart>
      <c:valAx>
        <c:axId val="439692751"/>
        <c:scaling>
          <c:orientation val="minMax"/>
          <c:max val="1"/>
        </c:scaling>
        <c:delete val="0"/>
        <c:axPos val="b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Drainage Relative to Fully Vented Joint Flow, 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q</a:t>
                </a:r>
                <a:r>
                  <a:rPr lang="en-US">
                    <a:solidFill>
                      <a:sysClr val="windowText" lastClr="000000"/>
                    </a:solidFill>
                  </a:rPr>
                  <a:t>/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q</a:t>
                </a:r>
                <a:r>
                  <a:rPr lang="en-US" baseline="-25000">
                    <a:solidFill>
                      <a:sysClr val="windowText" lastClr="000000"/>
                    </a:solidFill>
                  </a:rPr>
                  <a:t>max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0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7380175"/>
        <c:crosses val="autoZero"/>
        <c:crossBetween val="midCat"/>
        <c:minorUnit val="0.1"/>
      </c:valAx>
      <c:valAx>
        <c:axId val="797380175"/>
        <c:scaling>
          <c:orientation val="minMax"/>
          <c:max val="1"/>
          <c:min val="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Uplift Relative to No-Drainage Case, </a:t>
                </a:r>
                <a:r>
                  <a:rPr lang="en-US">
                    <a:solidFill>
                      <a:sysClr val="windowText" lastClr="000000"/>
                    </a:solidFill>
                    <a:latin typeface="Symbol" panose="05050102010706020507" pitchFamily="18" charset="2"/>
                  </a:rPr>
                  <a:t>D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H</a:t>
                </a:r>
                <a:r>
                  <a:rPr lang="en-US" i="1" baseline="-25000">
                    <a:solidFill>
                      <a:sysClr val="windowText" lastClr="000000"/>
                    </a:solidFill>
                  </a:rPr>
                  <a:t>b</a:t>
                </a:r>
                <a:r>
                  <a:rPr lang="en-US">
                    <a:solidFill>
                      <a:sysClr val="windowText" lastClr="000000"/>
                    </a:solidFill>
                  </a:rPr>
                  <a:t> / </a:t>
                </a:r>
                <a:r>
                  <a:rPr lang="en-US">
                    <a:solidFill>
                      <a:sysClr val="windowText" lastClr="000000"/>
                    </a:solidFill>
                    <a:latin typeface="Symbol" panose="05050102010706020507" pitchFamily="18" charset="2"/>
                  </a:rPr>
                  <a:t>D</a:t>
                </a:r>
                <a:r>
                  <a:rPr lang="en-US" i="1">
                    <a:solidFill>
                      <a:sysClr val="windowText" lastClr="000000"/>
                    </a:solidFill>
                  </a:rPr>
                  <a:t>H</a:t>
                </a:r>
                <a:r>
                  <a:rPr lang="en-US">
                    <a:solidFill>
                      <a:sysClr val="windowText" lastClr="000000"/>
                    </a:solidFill>
                  </a:rPr>
                  <a:t> </a:t>
                </a:r>
              </a:p>
            </c:rich>
          </c:tx>
          <c:layout>
            <c:manualLayout>
              <c:xMode val="edge"/>
              <c:yMode val="edge"/>
              <c:x val="1.916871789989982E-2"/>
              <c:y val="0.1124912666493738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%" sourceLinked="1"/>
        <c:majorTickMark val="in"/>
        <c:minorTickMark val="in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692751"/>
        <c:crosses val="autoZero"/>
        <c:crossBetween val="midCat"/>
        <c:majorUnit val="0.2"/>
        <c:minorUnit val="0.1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54463287080479361"/>
          <c:y val="8.8098065671282505E-2"/>
          <c:w val="0.39535353764232706"/>
          <c:h val="0.21571491356481262"/>
        </c:manualLayout>
      </c:layout>
      <c:overlay val="1"/>
      <c:spPr>
        <a:solidFill>
          <a:sysClr val="window" lastClr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18</xdr:row>
      <xdr:rowOff>180975</xdr:rowOff>
    </xdr:from>
    <xdr:to>
      <xdr:col>7</xdr:col>
      <xdr:colOff>522124</xdr:colOff>
      <xdr:row>26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37CBFFF-A51E-4610-B993-871E9CE72982}"/>
            </a:ext>
          </a:extLst>
        </xdr:cNvPr>
        <xdr:cNvSpPr txBox="1"/>
      </xdr:nvSpPr>
      <xdr:spPr>
        <a:xfrm>
          <a:off x="114300" y="3657600"/>
          <a:ext cx="5646574" cy="14097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Iterative calculation is required for this spreadsheet due to circular references.  Excel does not always remember the iterative calculation setting.  To re-enable</a:t>
          </a:r>
          <a:r>
            <a:rPr lang="en-US" sz="1400" baseline="0"/>
            <a:t> iterative calculation, go to File / Options / Formulas and check the </a:t>
          </a:r>
          <a:r>
            <a:rPr lang="en-US" sz="1400" b="1" baseline="0"/>
            <a:t>Enable iterative calculation</a:t>
          </a:r>
          <a:r>
            <a:rPr lang="en-US" sz="1400" baseline="0"/>
            <a:t> box.  (See screen shot at right.)</a:t>
          </a:r>
        </a:p>
      </xdr:txBody>
    </xdr:sp>
    <xdr:clientData/>
  </xdr:twoCellAnchor>
  <xdr:twoCellAnchor editAs="oneCell">
    <xdr:from>
      <xdr:col>9</xdr:col>
      <xdr:colOff>400050</xdr:colOff>
      <xdr:row>17</xdr:row>
      <xdr:rowOff>180975</xdr:rowOff>
    </xdr:from>
    <xdr:to>
      <xdr:col>22</xdr:col>
      <xdr:colOff>341917</xdr:colOff>
      <xdr:row>51</xdr:row>
      <xdr:rowOff>161118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98B9943-F2A8-4462-ABFF-8A9E62CFA2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58000" y="3467100"/>
          <a:ext cx="7866667" cy="645714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135255</xdr:colOff>
      <xdr:row>63</xdr:row>
      <xdr:rowOff>24765</xdr:rowOff>
    </xdr:from>
    <xdr:to>
      <xdr:col>39</xdr:col>
      <xdr:colOff>45720</xdr:colOff>
      <xdr:row>87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F4BB3EE-8C4C-4080-B24F-DC1B67B374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39</xdr:col>
      <xdr:colOff>266700</xdr:colOff>
      <xdr:row>64</xdr:row>
      <xdr:rowOff>87631</xdr:rowOff>
    </xdr:from>
    <xdr:to>
      <xdr:col>43</xdr:col>
      <xdr:colOff>163830</xdr:colOff>
      <xdr:row>85</xdr:row>
      <xdr:rowOff>104775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2E8D6D7-E6EF-4DE0-897C-0611B2AE8993}"/>
            </a:ext>
          </a:extLst>
        </xdr:cNvPr>
        <xdr:cNvSpPr txBox="1"/>
      </xdr:nvSpPr>
      <xdr:spPr>
        <a:xfrm>
          <a:off x="25107900" y="12679681"/>
          <a:ext cx="2335530" cy="401764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In this iteration I have changed the reference elevation for the uplift</a:t>
          </a:r>
          <a:r>
            <a:rPr lang="en-US" sz="1100" baseline="0"/>
            <a:t> pressure heads to the water surface in the chute (actually, the piezometric level).  With this definition it is not necessary to have 100% drainage to reach zero residual uplift, because this is uplift </a:t>
          </a:r>
          <a:r>
            <a:rPr lang="en-US" sz="1100" b="1" i="1" u="sng" baseline="0"/>
            <a:t>over and above</a:t>
          </a:r>
          <a:r>
            <a:rPr lang="en-US" sz="1100" b="0" i="1" u="sng" baseline="0"/>
            <a:t> </a:t>
          </a:r>
          <a:r>
            <a:rPr lang="en-US" sz="1100" b="0" baseline="0"/>
            <a:t>the flow depth in the chute.  For example, for the beta=8 case, more than 50% drainage would reduce the residual pressure in the foundation to less than the flow depth (but still positive relative to atmosphere).  There would be negative pressure below the slab </a:t>
          </a:r>
          <a:r>
            <a:rPr lang="en-US" sz="1100" b="1" i="1" baseline="0"/>
            <a:t>relative to the water surface in the chute.</a:t>
          </a:r>
          <a:r>
            <a:rPr lang="en-US" sz="1100" b="0" i="0" baseline="0"/>
            <a:t>  The weight of the water and the slab would be able to hold the slab down and no load would need to be carried by anchors.</a:t>
          </a:r>
          <a:endParaRPr lang="en-US" sz="1100" b="0" i="0"/>
        </a:p>
      </xdr:txBody>
    </xdr:sp>
    <xdr:clientData/>
  </xdr:twoCellAnchor>
  <xdr:twoCellAnchor>
    <xdr:from>
      <xdr:col>15</xdr:col>
      <xdr:colOff>323850</xdr:colOff>
      <xdr:row>34</xdr:row>
      <xdr:rowOff>38099</xdr:rowOff>
    </xdr:from>
    <xdr:to>
      <xdr:col>25</xdr:col>
      <xdr:colOff>219075</xdr:colOff>
      <xdr:row>51</xdr:row>
      <xdr:rowOff>133349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E30F6314-2318-4649-A57A-246759E408A0}"/>
            </a:ext>
          </a:extLst>
        </xdr:cNvPr>
        <xdr:cNvSpPr txBox="1"/>
      </xdr:nvSpPr>
      <xdr:spPr>
        <a:xfrm>
          <a:off x="10534650" y="6877049"/>
          <a:ext cx="5991225" cy="337185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/>
            <a:t>I have updated this to use the latest equations for b and c (b was out of date when the tables were generated for the 1st JHE paper)</a:t>
          </a:r>
          <a:r>
            <a:rPr lang="en-US" sz="1800" baseline="0"/>
            <a:t> and to include the slab thickness in the discharge calculation.  The case study tables in both papers and in the errata all need updated.   8/27/23</a:t>
          </a:r>
        </a:p>
        <a:p>
          <a:endParaRPr lang="en-US" sz="1800" baseline="0"/>
        </a:p>
        <a:p>
          <a:r>
            <a:rPr lang="en-US" sz="1800" baseline="0"/>
            <a:t>Updates complete, 8/28/23</a:t>
          </a:r>
        </a:p>
        <a:p>
          <a:endParaRPr lang="en-US" sz="1800" baseline="0"/>
        </a:p>
        <a:p>
          <a:r>
            <a:rPr lang="en-US" sz="1800" baseline="0"/>
            <a:t>11/27/23.  Modified formulas in the "q, cfs/ft" block to use cos(</a:t>
          </a:r>
          <a:r>
            <a:rPr lang="en-US" sz="1800" i="0" baseline="0">
              <a:solidFill>
                <a:schemeClr val="dk1"/>
              </a:solidFill>
              <a:effectLst/>
              <a:latin typeface="Symbol" panose="05050102010706020507" pitchFamily="18" charset="2"/>
              <a:ea typeface="+mn-ea"/>
              <a:cs typeface="+mn-cs"/>
            </a:rPr>
            <a:t>q</a:t>
          </a:r>
          <a:r>
            <a:rPr lang="en-US" sz="1800" baseline="0"/>
            <a:t>) instead of sin(</a:t>
          </a:r>
          <a:r>
            <a:rPr lang="en-US" sz="1800" i="0" baseline="0">
              <a:latin typeface="Symbol" panose="05050102010706020507" pitchFamily="18" charset="2"/>
            </a:rPr>
            <a:t>q</a:t>
          </a:r>
          <a:r>
            <a:rPr lang="en-US" sz="1800" baseline="0"/>
            <a:t>) as the multiplier of the slab thickness.  (Error in 1st submitted JHE2 paper).  Effect is small, about 2%.</a:t>
          </a:r>
          <a:endParaRPr lang="en-US" sz="18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0.54491</cdr:x>
      <cdr:y>0.04678</cdr:y>
    </cdr:from>
    <cdr:to>
      <cdr:x>0.94702</cdr:x>
      <cdr:y>0.30477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23E0C367-3636-2DB3-3A69-C5AA7A9CFC35}"/>
            </a:ext>
          </a:extLst>
        </cdr:cNvPr>
        <cdr:cNvSpPr/>
      </cdr:nvSpPr>
      <cdr:spPr>
        <a:xfrm xmlns:a="http://schemas.openxmlformats.org/drawingml/2006/main">
          <a:off x="3600202" y="204249"/>
          <a:ext cx="2656716" cy="11264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0.60946</cdr:x>
      <cdr:y>0.04904</cdr:y>
    </cdr:from>
    <cdr:to>
      <cdr:x>0.94117</cdr:x>
      <cdr:y>0.30388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4ED00992-FF4E-C4D9-2B18-7B2FD1035CE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4032250" y="212726"/>
          <a:ext cx="2194560" cy="11053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135255</xdr:colOff>
      <xdr:row>63</xdr:row>
      <xdr:rowOff>24765</xdr:rowOff>
    </xdr:from>
    <xdr:to>
      <xdr:col>39</xdr:col>
      <xdr:colOff>45720</xdr:colOff>
      <xdr:row>87</xdr:row>
      <xdr:rowOff>9524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A362B91-E8A5-D1B4-C3AC-B7DF0E06D3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39</xdr:col>
      <xdr:colOff>266700</xdr:colOff>
      <xdr:row>64</xdr:row>
      <xdr:rowOff>87631</xdr:rowOff>
    </xdr:from>
    <xdr:to>
      <xdr:col>43</xdr:col>
      <xdr:colOff>163830</xdr:colOff>
      <xdr:row>85</xdr:row>
      <xdr:rowOff>104775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2CFDD910-6836-4EBB-28AD-63C5122BB1E4}"/>
            </a:ext>
          </a:extLst>
        </xdr:cNvPr>
        <xdr:cNvSpPr txBox="1"/>
      </xdr:nvSpPr>
      <xdr:spPr>
        <a:xfrm>
          <a:off x="25174575" y="11955781"/>
          <a:ext cx="2335530" cy="38176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In this iteration I have changed the reference elevation for the uplift</a:t>
          </a:r>
          <a:r>
            <a:rPr lang="en-US" sz="1100" baseline="0"/>
            <a:t> pressure heads to the water surface in the chute (actually, the piezometric level).  With this definition it is not necessary to have 100% drainage to reach zero residual uplift, because this is uplift </a:t>
          </a:r>
          <a:r>
            <a:rPr lang="en-US" sz="1100" b="1" i="1" u="sng" baseline="0"/>
            <a:t>over and above</a:t>
          </a:r>
          <a:r>
            <a:rPr lang="en-US" sz="1100" b="0" i="1" u="sng" baseline="0"/>
            <a:t> </a:t>
          </a:r>
          <a:r>
            <a:rPr lang="en-US" sz="1100" b="0" baseline="0"/>
            <a:t>the flow depth in the chute.  For example, for the beta=8 case, more than 50% drainage would reduce the residual pressure in the foundation to less than the flow depth (but still positive relative to atmosphere).  There would be negative pressure below the slab </a:t>
          </a:r>
          <a:r>
            <a:rPr lang="en-US" sz="1100" b="1" i="1" baseline="0"/>
            <a:t>relative to the water surface in the chute.</a:t>
          </a:r>
          <a:r>
            <a:rPr lang="en-US" sz="1100" b="0" i="0" baseline="0"/>
            <a:t>  The weight of the water and the slab would be able to hold the slab down and no load would need to be carried by anchors.</a:t>
          </a:r>
          <a:endParaRPr lang="en-US" sz="1100" b="0" i="0"/>
        </a:p>
      </xdr:txBody>
    </xdr:sp>
    <xdr:clientData/>
  </xdr:twoCellAnchor>
  <xdr:twoCellAnchor>
    <xdr:from>
      <xdr:col>15</xdr:col>
      <xdr:colOff>323850</xdr:colOff>
      <xdr:row>34</xdr:row>
      <xdr:rowOff>38099</xdr:rowOff>
    </xdr:from>
    <xdr:to>
      <xdr:col>25</xdr:col>
      <xdr:colOff>219075</xdr:colOff>
      <xdr:row>51</xdr:row>
      <xdr:rowOff>133349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E9970124-F2E8-A155-C1EC-1A549620B302}"/>
            </a:ext>
          </a:extLst>
        </xdr:cNvPr>
        <xdr:cNvSpPr txBox="1"/>
      </xdr:nvSpPr>
      <xdr:spPr>
        <a:xfrm>
          <a:off x="10601325" y="6457949"/>
          <a:ext cx="5991225" cy="31908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/>
            <a:t>I have updated this to use the latest equations for b and c (b was out of date when the tables were generated for the 1st JHE paper)</a:t>
          </a:r>
          <a:r>
            <a:rPr lang="en-US" sz="1800" baseline="0"/>
            <a:t> and to include the slab thickness in the discharge calculation.  The case study tables in both papers and in the errata all need updated.   8/27/23</a:t>
          </a:r>
        </a:p>
        <a:p>
          <a:endParaRPr lang="en-US" sz="1800" baseline="0"/>
        </a:p>
        <a:p>
          <a:r>
            <a:rPr lang="en-US" sz="1800" baseline="0"/>
            <a:t>Updates complete, 8/28/23</a:t>
          </a:r>
        </a:p>
        <a:p>
          <a:endParaRPr lang="en-US" sz="1800" baseline="0"/>
        </a:p>
        <a:p>
          <a:r>
            <a:rPr lang="en-US" sz="1800" baseline="0"/>
            <a:t>11/27/23.  Modified formulas in the "q, cfs/ft" block to use cos(</a:t>
          </a:r>
          <a:r>
            <a:rPr lang="en-US" sz="1800" i="0" baseline="0">
              <a:solidFill>
                <a:schemeClr val="dk1"/>
              </a:solidFill>
              <a:effectLst/>
              <a:latin typeface="Symbol" panose="05050102010706020507" pitchFamily="18" charset="2"/>
              <a:ea typeface="+mn-ea"/>
              <a:cs typeface="+mn-cs"/>
            </a:rPr>
            <a:t>q</a:t>
          </a:r>
          <a:r>
            <a:rPr lang="en-US" sz="1800" baseline="0"/>
            <a:t>) instead of sin(</a:t>
          </a:r>
          <a:r>
            <a:rPr lang="en-US" sz="1800" i="0" baseline="0">
              <a:latin typeface="Symbol" panose="05050102010706020507" pitchFamily="18" charset="2"/>
            </a:rPr>
            <a:t>q</a:t>
          </a:r>
          <a:r>
            <a:rPr lang="en-US" sz="1800" baseline="0"/>
            <a:t>) as the multiplier of the slab thickness.  (Error in 1st submitted JHE2 paper).  Effect is small, about 2%.</a:t>
          </a:r>
          <a:endParaRPr lang="en-US" sz="1800"/>
        </a:p>
      </xdr:txBody>
    </xdr:sp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0.54491</cdr:x>
      <cdr:y>0.04678</cdr:y>
    </cdr:from>
    <cdr:to>
      <cdr:x>0.94703</cdr:x>
      <cdr:y>0.31244</cdr:y>
    </cdr:to>
    <cdr:sp macro="" textlink="">
      <cdr:nvSpPr>
        <cdr:cNvPr id="2" name="Rectangle 1">
          <a:extLst xmlns:a="http://schemas.openxmlformats.org/drawingml/2006/main">
            <a:ext uri="{FF2B5EF4-FFF2-40B4-BE49-F238E27FC236}">
              <a16:creationId xmlns:a16="http://schemas.microsoft.com/office/drawing/2014/main" id="{23E0C367-3636-2DB3-3A69-C5AA7A9CFC35}"/>
            </a:ext>
          </a:extLst>
        </cdr:cNvPr>
        <cdr:cNvSpPr/>
      </cdr:nvSpPr>
      <cdr:spPr>
        <a:xfrm xmlns:a="http://schemas.openxmlformats.org/drawingml/2006/main">
          <a:off x="3607726" y="215819"/>
          <a:ext cx="2662314" cy="1225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0.60946</cdr:x>
      <cdr:y>0.0502</cdr:y>
    </cdr:from>
    <cdr:to>
      <cdr:x>0.94117</cdr:x>
      <cdr:y>0.30432</cdr:y>
    </cdr:to>
    <cdr:pic>
      <cdr:nvPicPr>
        <cdr:cNvPr id="4" name="Picture 3">
          <a:extLst xmlns:a="http://schemas.openxmlformats.org/drawingml/2006/main">
            <a:ext uri="{FF2B5EF4-FFF2-40B4-BE49-F238E27FC236}">
              <a16:creationId xmlns:a16="http://schemas.microsoft.com/office/drawing/2014/main" id="{4ED00992-FF4E-C4D9-2B18-7B2FD1035CE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4035097" y="231596"/>
          <a:ext cx="2196177" cy="117238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Spillway%20Joints\Reports-Papers\Closeout%202024\RISE%20data,%20Spillway%20uplift%20testing.xlsx" TargetMode="External"/><Relationship Id="rId1" Type="http://schemas.openxmlformats.org/officeDocument/2006/relationships/externalLinkPath" Target="RISE%20data,%20Spillway%20uplift%20test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TES"/>
      <sheetName val="Sheet1"/>
      <sheetName val="JHE1 TABLE"/>
      <sheetName val="JHE2 table"/>
      <sheetName val="JHE3 TABLEs"/>
      <sheetName val="BetaCurveFits"/>
      <sheetName val="Attached_v_Detached"/>
      <sheetName val="Tilted"/>
      <sheetName val="relief"/>
      <sheetName val="skewed"/>
      <sheetName val="chamfer"/>
      <sheetName val="LatProfile"/>
      <sheetName val="90-V"/>
      <sheetName val="Gaps"/>
      <sheetName val="skew-tilt"/>
      <sheetName val="curve study"/>
      <sheetName val="apply"/>
      <sheetName val="QC"/>
    </sheetNames>
    <sheetDataSet>
      <sheetData sheetId="0"/>
      <sheetData sheetId="1">
        <row r="3">
          <cell r="T3">
            <v>1.2E-5</v>
          </cell>
        </row>
        <row r="5">
          <cell r="J5">
            <v>0.26179938779914941</v>
          </cell>
        </row>
        <row r="6">
          <cell r="G6">
            <v>5.95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rise.bor.doi.net/admin/rise/catalog-record/view/8049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BBF7E-565A-4A18-A778-7ED440EC59F5}">
  <dimension ref="A1:F14"/>
  <sheetViews>
    <sheetView tabSelected="1" workbookViewId="0">
      <selection activeCell="B8" sqref="B8"/>
    </sheetView>
  </sheetViews>
  <sheetFormatPr defaultRowHeight="15" x14ac:dyDescent="0.25"/>
  <cols>
    <col min="1" max="1" width="22.140625" customWidth="1"/>
    <col min="2" max="2" width="10.7109375" bestFit="1" customWidth="1"/>
  </cols>
  <sheetData>
    <row r="1" spans="1:6" ht="18.75" x14ac:dyDescent="0.3">
      <c r="A1" s="87" t="s">
        <v>94</v>
      </c>
    </row>
    <row r="3" spans="1:6" x14ac:dyDescent="0.25">
      <c r="A3" s="23" t="s">
        <v>95</v>
      </c>
      <c r="B3" t="s">
        <v>96</v>
      </c>
    </row>
    <row r="4" spans="1:6" x14ac:dyDescent="0.25">
      <c r="A4" s="23" t="s">
        <v>97</v>
      </c>
      <c r="B4" t="s">
        <v>98</v>
      </c>
    </row>
    <row r="5" spans="1:6" x14ac:dyDescent="0.25">
      <c r="A5" s="23" t="s">
        <v>99</v>
      </c>
      <c r="B5" s="88">
        <v>45565</v>
      </c>
    </row>
    <row r="6" spans="1:6" x14ac:dyDescent="0.25">
      <c r="A6" s="89" t="s">
        <v>100</v>
      </c>
      <c r="B6" s="90" t="s">
        <v>113</v>
      </c>
      <c r="F6" s="90"/>
    </row>
    <row r="7" spans="1:6" x14ac:dyDescent="0.25">
      <c r="A7" s="91" t="s">
        <v>101</v>
      </c>
      <c r="B7" s="92" t="s">
        <v>114</v>
      </c>
    </row>
    <row r="8" spans="1:6" x14ac:dyDescent="0.25">
      <c r="A8" s="91" t="s">
        <v>102</v>
      </c>
      <c r="B8" s="92" t="s">
        <v>115</v>
      </c>
    </row>
    <row r="9" spans="1:6" x14ac:dyDescent="0.25">
      <c r="A9" s="23" t="s">
        <v>103</v>
      </c>
      <c r="B9" s="1" t="s">
        <v>111</v>
      </c>
    </row>
    <row r="10" spans="1:6" x14ac:dyDescent="0.25">
      <c r="A10" s="23"/>
      <c r="B10" s="1" t="s">
        <v>112</v>
      </c>
    </row>
    <row r="11" spans="1:6" x14ac:dyDescent="0.25">
      <c r="A11" s="23" t="s">
        <v>104</v>
      </c>
      <c r="B11" s="1" t="s">
        <v>107</v>
      </c>
    </row>
    <row r="12" spans="1:6" x14ac:dyDescent="0.25">
      <c r="A12" s="23" t="s">
        <v>105</v>
      </c>
      <c r="B12" s="1" t="s">
        <v>108</v>
      </c>
    </row>
    <row r="13" spans="1:6" x14ac:dyDescent="0.25">
      <c r="A13" s="23" t="s">
        <v>106</v>
      </c>
      <c r="B13" s="1" t="s">
        <v>109</v>
      </c>
    </row>
    <row r="14" spans="1:6" x14ac:dyDescent="0.25">
      <c r="A14" s="23"/>
      <c r="B14" s="1" t="s">
        <v>110</v>
      </c>
    </row>
  </sheetData>
  <hyperlinks>
    <hyperlink ref="B6" r:id="rId1" display="https://rise.bor.doi.net/admin/rise/catalog-record/view/8049" xr:uid="{43D9E231-CB12-452A-A394-2B119AA3ED3D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1DC68-0F8F-4A1D-8A69-5CD2D20E1508}">
  <dimension ref="A1:BC97"/>
  <sheetViews>
    <sheetView topLeftCell="AB49" zoomScaleNormal="100" workbookViewId="0">
      <selection activeCell="AB43" sqref="AB43"/>
    </sheetView>
  </sheetViews>
  <sheetFormatPr defaultRowHeight="15" x14ac:dyDescent="0.25"/>
  <cols>
    <col min="2" max="2" width="23.28515625" customWidth="1"/>
    <col min="7" max="7" width="11" customWidth="1"/>
    <col min="51" max="51" width="14" customWidth="1"/>
    <col min="52" max="52" width="7.5703125" customWidth="1"/>
    <col min="53" max="53" width="12.140625" customWidth="1"/>
    <col min="54" max="54" width="4.5703125" customWidth="1"/>
  </cols>
  <sheetData>
    <row r="1" spans="1:36" x14ac:dyDescent="0.25">
      <c r="A1" s="1" t="s">
        <v>23</v>
      </c>
    </row>
    <row r="2" spans="1:36" ht="17.25" x14ac:dyDescent="0.25">
      <c r="B2" t="s">
        <v>83</v>
      </c>
      <c r="C2">
        <v>32.17</v>
      </c>
      <c r="D2" t="s">
        <v>84</v>
      </c>
    </row>
    <row r="3" spans="1:36" x14ac:dyDescent="0.25">
      <c r="B3" s="1" t="s">
        <v>2</v>
      </c>
      <c r="C3" s="6">
        <v>98.578000000000003</v>
      </c>
      <c r="D3" t="s">
        <v>0</v>
      </c>
      <c r="F3" s="7" t="s">
        <v>27</v>
      </c>
      <c r="G3" s="6"/>
      <c r="H3" s="6"/>
      <c r="I3" s="6"/>
      <c r="J3" s="6"/>
      <c r="K3" s="6"/>
    </row>
    <row r="4" spans="1:36" x14ac:dyDescent="0.25">
      <c r="B4" t="s">
        <v>1</v>
      </c>
      <c r="C4" s="6">
        <f>C3^2/(2*gravity)</f>
        <v>151.03546913273237</v>
      </c>
      <c r="D4" t="s">
        <v>3</v>
      </c>
    </row>
    <row r="5" spans="1:36" x14ac:dyDescent="0.25">
      <c r="B5" s="1" t="s">
        <v>43</v>
      </c>
      <c r="C5" s="6">
        <v>3.0700000000000002E-2</v>
      </c>
    </row>
    <row r="6" spans="1:36" ht="15.75" thickBot="1" x14ac:dyDescent="0.3">
      <c r="B6" s="1" t="s">
        <v>4</v>
      </c>
      <c r="C6">
        <f>0.82*0.4*SQRT(8/C5)</f>
        <v>5.2948010884994776</v>
      </c>
    </row>
    <row r="7" spans="1:36" ht="15.75" thickBot="1" x14ac:dyDescent="0.3">
      <c r="B7" s="1" t="s">
        <v>6</v>
      </c>
      <c r="C7" s="11">
        <v>0.5</v>
      </c>
      <c r="D7" t="s">
        <v>9</v>
      </c>
      <c r="F7" t="s">
        <v>28</v>
      </c>
    </row>
    <row r="8" spans="1:36" ht="15.75" thickBot="1" x14ac:dyDescent="0.3">
      <c r="B8" s="4" t="s">
        <v>6</v>
      </c>
      <c r="C8">
        <f>C7/12</f>
        <v>4.1666666666666664E-2</v>
      </c>
      <c r="D8" t="s">
        <v>3</v>
      </c>
      <c r="K8" s="84" t="s">
        <v>92</v>
      </c>
      <c r="L8" s="84"/>
      <c r="M8" s="84"/>
      <c r="N8" s="84"/>
      <c r="O8" s="84"/>
      <c r="P8" s="84"/>
    </row>
    <row r="9" spans="1:36" ht="15.75" thickBot="1" x14ac:dyDescent="0.3">
      <c r="B9" s="3" t="s">
        <v>10</v>
      </c>
      <c r="C9" s="11">
        <v>0.5</v>
      </c>
      <c r="D9" t="s">
        <v>9</v>
      </c>
      <c r="F9" t="s">
        <v>28</v>
      </c>
    </row>
    <row r="10" spans="1:36" ht="18" x14ac:dyDescent="0.35">
      <c r="B10" s="4" t="s">
        <v>10</v>
      </c>
      <c r="C10">
        <f>C9/12</f>
        <v>4.1666666666666664E-2</v>
      </c>
      <c r="D10" t="s">
        <v>3</v>
      </c>
      <c r="K10" s="1" t="s">
        <v>52</v>
      </c>
      <c r="R10" s="1" t="s">
        <v>91</v>
      </c>
      <c r="X10" s="1" t="s">
        <v>39</v>
      </c>
      <c r="AF10" t="s">
        <v>40</v>
      </c>
    </row>
    <row r="11" spans="1:36" ht="15.75" thickBot="1" x14ac:dyDescent="0.3">
      <c r="B11" s="3" t="s">
        <v>7</v>
      </c>
      <c r="C11" s="6">
        <v>3.0880000000000001</v>
      </c>
      <c r="D11" t="s">
        <v>3</v>
      </c>
      <c r="K11" t="s">
        <v>31</v>
      </c>
      <c r="R11" s="1" t="s">
        <v>45</v>
      </c>
    </row>
    <row r="12" spans="1:36" ht="15.75" thickBot="1" x14ac:dyDescent="0.3">
      <c r="B12" t="s">
        <v>85</v>
      </c>
      <c r="C12" s="6">
        <v>7</v>
      </c>
      <c r="D12" t="s">
        <v>9</v>
      </c>
      <c r="E12">
        <f>C12*25.4</f>
        <v>177.79999999999998</v>
      </c>
      <c r="F12" t="s">
        <v>86</v>
      </c>
      <c r="J12" s="11">
        <f>C34</f>
        <v>13.494335442509851</v>
      </c>
      <c r="K12" s="19">
        <v>0.125</v>
      </c>
      <c r="L12" s="20">
        <v>0.25</v>
      </c>
      <c r="M12" s="20">
        <v>0.5</v>
      </c>
      <c r="N12" s="20">
        <v>1</v>
      </c>
      <c r="Q12" t="s">
        <v>44</v>
      </c>
      <c r="R12" s="18" cm="1">
        <f t="array" ref="R12:V12">TRANSPOSE(J13:J17)</f>
        <v>0</v>
      </c>
      <c r="S12" s="18">
        <v>0.125</v>
      </c>
      <c r="T12" s="18">
        <v>0.25</v>
      </c>
      <c r="U12" s="18">
        <v>0.5</v>
      </c>
      <c r="V12" s="18">
        <v>1</v>
      </c>
      <c r="AG12" cm="1">
        <f t="array" ref="AG12:AJ12">K12:N12*25.4</f>
        <v>3.1749999999999998</v>
      </c>
      <c r="AH12">
        <v>6.35</v>
      </c>
      <c r="AI12">
        <v>12.7</v>
      </c>
      <c r="AJ12">
        <v>25.4</v>
      </c>
    </row>
    <row r="13" spans="1:36" x14ac:dyDescent="0.25">
      <c r="B13" s="3" t="s">
        <v>21</v>
      </c>
      <c r="C13">
        <f>C11*C3</f>
        <v>304.40886399999999</v>
      </c>
      <c r="D13" t="s">
        <v>22</v>
      </c>
      <c r="I13" t="s">
        <v>32</v>
      </c>
      <c r="J13" s="93">
        <v>0</v>
      </c>
      <c r="K13" s="9">
        <f t="dataTable" ref="K13:N17" dt2D="1" dtr="1" r1="C7" r2="C9"/>
        <v>6.4396578910754538</v>
      </c>
      <c r="L13" s="9">
        <v>9.5343350566831742</v>
      </c>
      <c r="M13" s="10">
        <v>14.10748641715395</v>
      </c>
      <c r="N13" s="10">
        <v>20.835531046013351</v>
      </c>
      <c r="Q13" s="18" cm="1">
        <f t="array" ref="Q13:Q16">TRANSPOSE(K12:N12)</f>
        <v>0.125</v>
      </c>
      <c r="R13" s="9" cm="1">
        <f t="array" ref="R13:V16">0.3048*TRANSPOSE(K13:N17)</f>
        <v>1.9628077251997984</v>
      </c>
      <c r="S13" s="9">
        <v>1.9323883360110095</v>
      </c>
      <c r="T13" s="9">
        <v>1.8269003662155749</v>
      </c>
      <c r="U13" s="9">
        <v>1.5942363290992583</v>
      </c>
      <c r="V13" s="9">
        <v>1.2541016109116294</v>
      </c>
      <c r="W13" s="16" cm="1">
        <f t="array" ref="W13:W16">0.3048*TRANSPOSE(K18:N18)</f>
        <v>8.6563199999999991</v>
      </c>
      <c r="Y13" s="9" cm="1">
        <f t="array" ref="Y13:AC16">TRANSPOSE(K13:N17)</f>
        <v>6.4396578910754538</v>
      </c>
      <c r="Z13" s="9">
        <v>6.339856745442944</v>
      </c>
      <c r="AA13" s="9">
        <v>5.9937676056941429</v>
      </c>
      <c r="AB13" s="9">
        <v>5.2304341505881178</v>
      </c>
      <c r="AC13" s="9">
        <v>4.1145065974790986</v>
      </c>
      <c r="AD13" s="23" cm="1">
        <f t="array" ref="AD13:AD16">TRANSPOSE(K18:N18)</f>
        <v>28.4</v>
      </c>
      <c r="AF13" cm="1">
        <f t="array" ref="AF13:AF17">J13:J17*25.4</f>
        <v>0</v>
      </c>
      <c r="AG13" s="9" cm="1">
        <f t="array" ref="AG13:AJ18">K13:N18*0.3048</f>
        <v>1.9628077251997984</v>
      </c>
      <c r="AH13" s="9">
        <v>2.9060653252770314</v>
      </c>
      <c r="AI13" s="9">
        <v>4.2999618599485245</v>
      </c>
      <c r="AJ13" s="9">
        <v>6.3506698628248701</v>
      </c>
    </row>
    <row r="14" spans="1:36" x14ac:dyDescent="0.25">
      <c r="B14" s="3" t="s">
        <v>26</v>
      </c>
      <c r="C14">
        <f>C3/SQRT(gravity*C11*COS(C21))</f>
        <v>10.035634906570445</v>
      </c>
      <c r="J14" s="22">
        <v>0.125</v>
      </c>
      <c r="K14" s="82">
        <v>6.339856745442944</v>
      </c>
      <c r="L14" s="82">
        <v>9.4931143580897945</v>
      </c>
      <c r="M14" s="83">
        <v>14.073563749178277</v>
      </c>
      <c r="N14" s="83">
        <v>20.790107187508777</v>
      </c>
      <c r="Q14" s="18">
        <v>0.25</v>
      </c>
      <c r="R14" s="9">
        <v>2.9060653252770314</v>
      </c>
      <c r="S14" s="9">
        <v>2.8935012563457696</v>
      </c>
      <c r="T14" s="9">
        <v>2.8301370725973927</v>
      </c>
      <c r="U14" s="9">
        <v>2.6211916932772734</v>
      </c>
      <c r="V14" s="9">
        <v>2.2047890131549166</v>
      </c>
      <c r="W14" s="17">
        <v>11.82624</v>
      </c>
      <c r="Y14" s="9">
        <v>9.5343350566831742</v>
      </c>
      <c r="Z14" s="9">
        <v>9.4931143580897945</v>
      </c>
      <c r="AA14" s="9">
        <v>9.285226616133178</v>
      </c>
      <c r="AB14" s="9">
        <v>8.59971027978108</v>
      </c>
      <c r="AC14" s="9">
        <v>7.2335597544452641</v>
      </c>
      <c r="AD14" s="23">
        <v>38.799999999999997</v>
      </c>
      <c r="AF14">
        <v>3.1749999999999998</v>
      </c>
      <c r="AG14" s="9">
        <v>1.9323883360110095</v>
      </c>
      <c r="AH14" s="9">
        <v>2.8935012563457696</v>
      </c>
      <c r="AI14" s="9">
        <v>4.2896222307495391</v>
      </c>
      <c r="AJ14" s="9">
        <v>6.3368246707526756</v>
      </c>
    </row>
    <row r="15" spans="1:36" x14ac:dyDescent="0.25">
      <c r="B15" s="5" t="s">
        <v>16</v>
      </c>
      <c r="C15">
        <f>C9/C7</f>
        <v>1</v>
      </c>
      <c r="J15" s="22">
        <v>0.25</v>
      </c>
      <c r="K15" s="82">
        <v>5.9937676056941429</v>
      </c>
      <c r="L15" s="82">
        <v>9.285226616133178</v>
      </c>
      <c r="M15" s="83">
        <v>13.981079095047869</v>
      </c>
      <c r="N15" s="83">
        <v>20.721170654863297</v>
      </c>
      <c r="Q15" s="18">
        <v>0.5</v>
      </c>
      <c r="R15" s="9">
        <v>4.2999618599485245</v>
      </c>
      <c r="S15" s="9">
        <v>4.2896222307495391</v>
      </c>
      <c r="T15" s="9">
        <v>4.2614329081705904</v>
      </c>
      <c r="U15" s="9">
        <v>4.1130734428770026</v>
      </c>
      <c r="V15" s="9">
        <v>3.7122710733571926</v>
      </c>
      <c r="W15" s="17">
        <v>14.996160000000001</v>
      </c>
      <c r="Y15" s="10">
        <v>14.10748641715395</v>
      </c>
      <c r="Z15" s="10">
        <v>14.073563749178277</v>
      </c>
      <c r="AA15" s="10">
        <v>13.981079095047869</v>
      </c>
      <c r="AB15" s="10">
        <v>13.494335442509851</v>
      </c>
      <c r="AC15" s="10">
        <v>12.179367038573465</v>
      </c>
      <c r="AD15" s="23">
        <v>49.2</v>
      </c>
      <c r="AF15">
        <v>6.35</v>
      </c>
      <c r="AG15" s="9">
        <v>1.8269003662155749</v>
      </c>
      <c r="AH15" s="9">
        <v>2.8301370725973927</v>
      </c>
      <c r="AI15" s="9">
        <v>4.2614329081705904</v>
      </c>
      <c r="AJ15" s="9">
        <v>6.3158128156023334</v>
      </c>
    </row>
    <row r="16" spans="1:36" x14ac:dyDescent="0.25">
      <c r="B16" t="s">
        <v>8</v>
      </c>
      <c r="C16">
        <f>C11/C8</f>
        <v>74.112000000000009</v>
      </c>
      <c r="J16" s="22">
        <v>0.5</v>
      </c>
      <c r="K16" s="82">
        <v>5.2304341505881178</v>
      </c>
      <c r="L16" s="82">
        <v>8.59971027978108</v>
      </c>
      <c r="M16" s="83">
        <v>13.494335442509851</v>
      </c>
      <c r="N16" s="83">
        <v>20.458309855790041</v>
      </c>
      <c r="Q16" s="18">
        <v>1</v>
      </c>
      <c r="R16" s="9">
        <v>6.3506698628248701</v>
      </c>
      <c r="S16" s="9">
        <v>6.3368246707526756</v>
      </c>
      <c r="T16" s="9">
        <v>6.3158128156023334</v>
      </c>
      <c r="U16" s="9">
        <v>6.2356928440448049</v>
      </c>
      <c r="V16" s="9">
        <v>5.9019110727331308</v>
      </c>
      <c r="W16" s="17">
        <v>18.166080000000001</v>
      </c>
      <c r="Y16" s="10">
        <v>20.835531046013351</v>
      </c>
      <c r="Z16" s="10">
        <v>20.790107187508777</v>
      </c>
      <c r="AA16" s="10">
        <v>20.721170654863297</v>
      </c>
      <c r="AB16" s="10">
        <v>20.458309855790041</v>
      </c>
      <c r="AC16" s="10">
        <v>19.363225304242555</v>
      </c>
      <c r="AD16" s="23">
        <v>59.6</v>
      </c>
      <c r="AF16">
        <v>12.7</v>
      </c>
      <c r="AG16" s="9">
        <v>1.5942363290992583</v>
      </c>
      <c r="AH16" s="9">
        <v>2.6211916932772734</v>
      </c>
      <c r="AI16" s="9">
        <v>4.1130734428770026</v>
      </c>
      <c r="AJ16" s="9">
        <v>6.2356928440448049</v>
      </c>
    </row>
    <row r="17" spans="2:53" ht="15.75" thickBot="1" x14ac:dyDescent="0.3">
      <c r="B17" s="3" t="s">
        <v>11</v>
      </c>
      <c r="C17">
        <f>C11/C10</f>
        <v>74.112000000000009</v>
      </c>
      <c r="J17" s="22">
        <v>1</v>
      </c>
      <c r="K17" s="82">
        <v>4.1145065974790986</v>
      </c>
      <c r="L17" s="82">
        <v>7.2335597544452641</v>
      </c>
      <c r="M17" s="83">
        <v>12.179367038573465</v>
      </c>
      <c r="N17" s="83">
        <v>19.363225304242555</v>
      </c>
      <c r="AF17">
        <v>25.4</v>
      </c>
      <c r="AG17" s="9">
        <v>1.2541016109116294</v>
      </c>
      <c r="AH17" s="9">
        <v>2.2047890131549166</v>
      </c>
      <c r="AI17" s="9">
        <v>3.7122710733571926</v>
      </c>
      <c r="AJ17" s="9">
        <v>5.9019110727331308</v>
      </c>
    </row>
    <row r="18" spans="2:53" ht="15.75" thickBot="1" x14ac:dyDescent="0.3">
      <c r="B18" s="2" t="s">
        <v>5</v>
      </c>
      <c r="C18">
        <f>(1/C16)^(3/C6)*(1+1/C6)^3/(1+3/C6)</f>
        <v>9.3534973575069444E-2</v>
      </c>
      <c r="I18" t="s">
        <v>37</v>
      </c>
      <c r="K18" s="14">
        <v>28.4</v>
      </c>
      <c r="L18" s="15">
        <v>38.799999999999997</v>
      </c>
      <c r="M18" s="15">
        <v>49.2</v>
      </c>
      <c r="N18" s="15">
        <v>59.6</v>
      </c>
      <c r="AG18" s="9">
        <v>8.6563199999999991</v>
      </c>
      <c r="AH18" s="9">
        <v>11.82624</v>
      </c>
      <c r="AI18" s="9">
        <v>14.996160000000001</v>
      </c>
      <c r="AJ18" s="9">
        <v>18.166080000000001</v>
      </c>
    </row>
    <row r="19" spans="2:53" x14ac:dyDescent="0.25">
      <c r="B19" s="3" t="s">
        <v>25</v>
      </c>
      <c r="C19">
        <f>C18*C4</f>
        <v>14.127098614228339</v>
      </c>
      <c r="D19" t="s">
        <v>3</v>
      </c>
    </row>
    <row r="20" spans="2:53" x14ac:dyDescent="0.25">
      <c r="B20" s="3" t="s">
        <v>13</v>
      </c>
      <c r="C20" s="6">
        <f>DEGREES(ATAN(0.245))</f>
        <v>13.766300685466257</v>
      </c>
      <c r="D20" t="s">
        <v>14</v>
      </c>
      <c r="J20" s="1" t="s">
        <v>29</v>
      </c>
    </row>
    <row r="21" spans="2:53" ht="15.75" thickBot="1" x14ac:dyDescent="0.3">
      <c r="B21" s="4" t="s">
        <v>13</v>
      </c>
      <c r="C21">
        <f>RADIANS(C20)</f>
        <v>0.24026727278093848</v>
      </c>
      <c r="D21" t="s">
        <v>15</v>
      </c>
      <c r="E21">
        <f>COS(C21)</f>
        <v>0.9712744087171471</v>
      </c>
      <c r="F21">
        <f>SIN(C21)</f>
        <v>0.23796223013570103</v>
      </c>
      <c r="I21" s="1" t="s">
        <v>47</v>
      </c>
      <c r="J21" t="s">
        <v>30</v>
      </c>
    </row>
    <row r="22" spans="2:53" ht="15.75" thickBot="1" x14ac:dyDescent="0.3">
      <c r="I22" s="26">
        <v>1.03</v>
      </c>
      <c r="K22" s="8">
        <f ca="1">IFERROR($I$23+($I$24*K35^$I$25+$I$22)^-1,0.7)</f>
        <v>0.7</v>
      </c>
      <c r="L22" s="8">
        <f t="shared" ref="L22:N22" ca="1" si="0">IFERROR($I$23+($I$24*L35^$I$25+$I$22)^-1,0.7)</f>
        <v>0.7</v>
      </c>
      <c r="M22" s="8">
        <f t="shared" ca="1" si="0"/>
        <v>0.7</v>
      </c>
      <c r="N22" s="8">
        <f t="shared" ca="1" si="0"/>
        <v>0.7</v>
      </c>
      <c r="P22" s="8"/>
    </row>
    <row r="23" spans="2:53" ht="15.75" thickBot="1" x14ac:dyDescent="0.3">
      <c r="B23" s="1" t="s">
        <v>38</v>
      </c>
      <c r="I23" s="26">
        <v>0.05</v>
      </c>
      <c r="K23" s="39">
        <f t="shared" ref="K23:N26" ca="1" si="1">IFERROR($I$23+($I$24*K36^$I$25+$I$22)^-1,0.7)</f>
        <v>0.72853020448055639</v>
      </c>
      <c r="L23" s="39">
        <f t="shared" ca="1" si="1"/>
        <v>0.77015081456964096</v>
      </c>
      <c r="M23" s="39">
        <f t="shared" ca="1" si="1"/>
        <v>0.80870008543004801</v>
      </c>
      <c r="N23" s="39">
        <f t="shared" ca="1" si="1"/>
        <v>0.84346498509593215</v>
      </c>
    </row>
    <row r="24" spans="2:53" ht="18" x14ac:dyDescent="0.35">
      <c r="B24" s="1" t="s">
        <v>12</v>
      </c>
      <c r="C24">
        <f>C3/SQRT(gravity*C8*COS(C21))</f>
        <v>86.395101682813561</v>
      </c>
      <c r="I24" s="26">
        <v>7.0000000000000007E-2</v>
      </c>
      <c r="K24" s="39">
        <f t="shared" ca="1" si="1"/>
        <v>0.72269340377318092</v>
      </c>
      <c r="L24" s="39">
        <f t="shared" ca="1" si="1"/>
        <v>0.76790565306456204</v>
      </c>
      <c r="M24" s="39">
        <f t="shared" ca="1" si="1"/>
        <v>0.80808018673946946</v>
      </c>
      <c r="N24" s="39">
        <f t="shared" ca="1" si="1"/>
        <v>0.84318603138481019</v>
      </c>
    </row>
    <row r="25" spans="2:53" ht="19.5" thickBot="1" x14ac:dyDescent="0.4">
      <c r="B25" s="1" t="s">
        <v>17</v>
      </c>
      <c r="C25">
        <f>C24^1.17*C15^1.68/C6^2.42</f>
        <v>3.2656987410535447</v>
      </c>
      <c r="I25" s="27">
        <v>-1.1000000000000001</v>
      </c>
      <c r="K25" s="39">
        <f t="shared" ca="1" si="1"/>
        <v>0.70857530152783843</v>
      </c>
      <c r="L25" s="39">
        <f t="shared" ca="1" si="1"/>
        <v>0.76008246002624502</v>
      </c>
      <c r="M25" s="39">
        <f t="shared" ca="1" si="1"/>
        <v>0.80473175113836515</v>
      </c>
      <c r="N25" s="39">
        <f t="shared" ca="1" si="1"/>
        <v>0.84211093489526578</v>
      </c>
      <c r="AS25" s="1" t="s">
        <v>66</v>
      </c>
    </row>
    <row r="26" spans="2:53" x14ac:dyDescent="0.25">
      <c r="B26" t="s">
        <v>18</v>
      </c>
      <c r="C26">
        <f>1/(1.741+1.894*C25^0.5)</f>
        <v>0.19365982186755115</v>
      </c>
      <c r="K26" s="39">
        <f t="shared" ca="1" si="1"/>
        <v>0.68411433046661985</v>
      </c>
      <c r="L26" s="39">
        <f t="shared" ca="1" si="1"/>
        <v>0.74223490361434219</v>
      </c>
      <c r="M26" s="39">
        <f t="shared" ca="1" si="1"/>
        <v>0.7948903836706861</v>
      </c>
      <c r="N26" s="39">
        <f t="shared" ca="1" si="1"/>
        <v>0.83742702198315222</v>
      </c>
      <c r="AD26" s="1" t="s">
        <v>67</v>
      </c>
    </row>
    <row r="27" spans="2:53" x14ac:dyDescent="0.25">
      <c r="B27" t="s">
        <v>19</v>
      </c>
      <c r="C27">
        <f>C26*C4</f>
        <v>29.249502047926971</v>
      </c>
      <c r="D27" t="s">
        <v>3</v>
      </c>
      <c r="R27" s="1" t="s">
        <v>42</v>
      </c>
      <c r="AD27" t="s">
        <v>53</v>
      </c>
      <c r="AE27" s="42">
        <v>0.5</v>
      </c>
    </row>
    <row r="28" spans="2:53" ht="18" x14ac:dyDescent="0.35">
      <c r="F28" t="s">
        <v>87</v>
      </c>
      <c r="J28" s="1" t="s">
        <v>46</v>
      </c>
      <c r="O28" t="s">
        <v>41</v>
      </c>
      <c r="R28" t="s">
        <v>31</v>
      </c>
      <c r="AD28" s="28" t="s">
        <v>64</v>
      </c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</row>
    <row r="29" spans="2:53" ht="18" x14ac:dyDescent="0.35">
      <c r="B29" t="s">
        <v>35</v>
      </c>
      <c r="F29" s="78" t="s">
        <v>88</v>
      </c>
      <c r="G29" s="78" t="s">
        <v>90</v>
      </c>
      <c r="H29" s="78" t="s">
        <v>89</v>
      </c>
      <c r="K29" s="9">
        <f t="shared" ref="K29:N29" ca="1" si="2">K22*($J13/12)*SQRT(2*gravity*(K13+$C$11*COS($C$21)+$C$12*SIN($C$21)/12))</f>
        <v>0</v>
      </c>
      <c r="L29" s="9">
        <f t="shared" ca="1" si="2"/>
        <v>0</v>
      </c>
      <c r="M29" s="9">
        <f t="shared" ca="1" si="2"/>
        <v>0</v>
      </c>
      <c r="N29" s="9">
        <f t="shared" ca="1" si="2"/>
        <v>0</v>
      </c>
      <c r="Q29" t="s">
        <v>32</v>
      </c>
      <c r="R29" s="18" cm="1">
        <f t="array" ref="R29:U29">K12:N12</f>
        <v>0.125</v>
      </c>
      <c r="S29" s="18">
        <v>0.25</v>
      </c>
      <c r="T29" s="18">
        <v>0.5</v>
      </c>
      <c r="U29" s="18">
        <v>1</v>
      </c>
      <c r="V29" t="s">
        <v>41</v>
      </c>
      <c r="X29" s="1" t="s">
        <v>48</v>
      </c>
      <c r="AD29" s="1" t="s">
        <v>49</v>
      </c>
      <c r="AI29" s="1" t="s">
        <v>50</v>
      </c>
      <c r="AN29" s="1" t="s">
        <v>51</v>
      </c>
      <c r="AS29" s="1" t="s">
        <v>65</v>
      </c>
    </row>
    <row r="30" spans="2:53" x14ac:dyDescent="0.25">
      <c r="B30" t="s">
        <v>16</v>
      </c>
      <c r="C30" s="13">
        <f>IF(C15=0,$F$30,$F$30+$F$31*C15^($F$32*C15^$F$33))</f>
        <v>1.349</v>
      </c>
      <c r="F30" s="79">
        <v>1.29</v>
      </c>
      <c r="G30" s="80">
        <f>-0.80498*0-0.8</f>
        <v>-0.8</v>
      </c>
      <c r="H30" s="80">
        <v>-0.93500000000000005</v>
      </c>
      <c r="K30" s="60">
        <f t="shared" ref="K30:N30" ca="1" si="3">K23*($J14/12)*SQRT(2*gravity*(K14+$C$11*COS($C$21)+$C$12*COS($C$21)/12))</f>
        <v>0.19158437010503349</v>
      </c>
      <c r="L30" s="61">
        <f t="shared" ca="1" si="3"/>
        <v>0.23254114701869871</v>
      </c>
      <c r="M30" s="61">
        <f t="shared" ca="1" si="3"/>
        <v>0.28379133434800347</v>
      </c>
      <c r="N30" s="62">
        <f t="shared" ca="1" si="3"/>
        <v>0.34780766737859464</v>
      </c>
      <c r="O30" s="24">
        <v>0.04</v>
      </c>
      <c r="Q30" s="18" cm="1">
        <f t="array" ref="Q30:Q33">J14:J17</f>
        <v>0.125</v>
      </c>
      <c r="R30" s="69" cm="1">
        <f t="array" aca="1" ref="R30:V33" ca="1">K30:O33*0.3048^2</f>
        <v>1.7798770399242731E-2</v>
      </c>
      <c r="S30" s="70">
        <f ca="1"/>
        <v>2.1603779483124048E-2</v>
      </c>
      <c r="T30" s="70">
        <f ca="1"/>
        <v>2.6365077686585942E-2</v>
      </c>
      <c r="U30" s="71">
        <f ca="1"/>
        <v>3.2312389634780274E-2</v>
      </c>
      <c r="V30" s="25">
        <f ca="1"/>
        <v>3.7161216000000004E-3</v>
      </c>
      <c r="X30" s="9">
        <f ca="1">R30/$V30</f>
        <v>4.7896092526258371</v>
      </c>
      <c r="Y30" s="9">
        <f t="shared" ref="Y30:AA33" ca="1" si="4">S30/$V30</f>
        <v>5.8135286754674675</v>
      </c>
      <c r="Z30" s="9">
        <f t="shared" ca="1" si="4"/>
        <v>7.0947833587000861</v>
      </c>
      <c r="AA30" s="9">
        <f t="shared" ca="1" si="4"/>
        <v>8.6951916844648647</v>
      </c>
      <c r="AD30" s="36" cm="1">
        <f t="array" aca="1" ref="AD30:AG33" ca="1">K30:N33*$AE$27</f>
        <v>9.5792185052516743E-2</v>
      </c>
      <c r="AE30" s="36">
        <f ca="1"/>
        <v>0.11627057350934936</v>
      </c>
      <c r="AF30" s="36">
        <f ca="1"/>
        <v>0.14189566717400173</v>
      </c>
      <c r="AG30" s="36">
        <f ca="1"/>
        <v>0.17390383368929732</v>
      </c>
      <c r="AI30" s="38" cm="1">
        <f t="array" aca="1" ref="AI30:AL33" ca="1">K36:N39*$AE$27</f>
        <v>9.3287039349972678E-2</v>
      </c>
      <c r="AJ30" s="38">
        <f ca="1"/>
        <v>0.11322987945482298</v>
      </c>
      <c r="AK30" s="38">
        <f ca="1"/>
        <v>0.13818482875189358</v>
      </c>
      <c r="AL30" s="38">
        <f ca="1"/>
        <v>0.16935592154611112</v>
      </c>
      <c r="AN30" s="40">
        <f ca="1">$I$23+($I$24*AI30^$I$25+$I$22)^-1</f>
        <v>0.55473190074272838</v>
      </c>
      <c r="AO30" s="40">
        <f t="shared" ref="AO30:AQ33" ca="1" si="5">$I$23+($I$24*AJ30^$I$25+$I$22)^-1</f>
        <v>0.6059658282660555</v>
      </c>
      <c r="AP30" s="40">
        <f t="shared" ca="1" si="5"/>
        <v>0.65700401502955308</v>
      </c>
      <c r="AQ30" s="40">
        <f t="shared" ca="1" si="5"/>
        <v>0.70631945571452148</v>
      </c>
      <c r="AS30" s="41" cm="1">
        <f t="array" aca="1" ref="AS30:AV33" ca="1">(K14:N17-(AD30:AG33/AN30:AQ33/($Q30:$Q33/12))^2/2/32.17)/(K14:N17)</f>
        <v>0.32628558220945919</v>
      </c>
      <c r="AT30" s="41">
        <f ca="1"/>
        <v>0.44448465735692255</v>
      </c>
      <c r="AU30" s="41">
        <f ca="1"/>
        <v>0.52525593257481396</v>
      </c>
      <c r="AV30" s="41">
        <f ca="1"/>
        <v>0.58234214380730021</v>
      </c>
      <c r="AX30" s="33">
        <f ca="1">(K14-(AD30/AN30/($Q30/12))^2/2/32.17)/K14</f>
        <v>0.32628558220945919</v>
      </c>
      <c r="AY30" s="33">
        <f t="shared" ref="AY30:BA30" ca="1" si="6">(L14-(AE30/AO30/($Q30/12))^2/2/32.17)/L14</f>
        <v>0.44448465735692255</v>
      </c>
      <c r="AZ30" s="33">
        <f t="shared" ca="1" si="6"/>
        <v>0.52525593257481396</v>
      </c>
      <c r="BA30" s="35">
        <f t="shared" ca="1" si="6"/>
        <v>0.58234214380730021</v>
      </c>
    </row>
    <row r="31" spans="2:53" x14ac:dyDescent="0.25">
      <c r="B31" s="1" t="s">
        <v>36</v>
      </c>
      <c r="C31">
        <f>IF(C15&gt;=0.6,EXP($G$30+$G$31/C15+$G$32*EXP(-C15)),$H$30*C15 +$H$31)</f>
        <v>0.78021883711619155</v>
      </c>
      <c r="F31" s="79">
        <v>5.8999999999999997E-2</v>
      </c>
      <c r="G31" s="80">
        <v>0</v>
      </c>
      <c r="H31" s="80">
        <v>1.587</v>
      </c>
      <c r="K31" s="63">
        <f t="shared" ref="K31:N33" ca="1" si="7">K24*($J15/12)*SQRT(2*gravity*(K15+$C$11*COS($C$21)+$C$12*COS($C$21)/12))</f>
        <v>0.37339985434635758</v>
      </c>
      <c r="L31" s="94">
        <f t="shared" ca="1" si="7"/>
        <v>0.46002060591993021</v>
      </c>
      <c r="M31" s="94">
        <f t="shared" ca="1" si="7"/>
        <v>0.56565884653193321</v>
      </c>
      <c r="N31" s="65">
        <f t="shared" ca="1" si="7"/>
        <v>0.69440048083727501</v>
      </c>
      <c r="O31" s="24">
        <v>0.11</v>
      </c>
      <c r="Q31" s="18">
        <v>0.25</v>
      </c>
      <c r="R31" s="72">
        <f ca="1"/>
        <v>3.4689981604333835E-2</v>
      </c>
      <c r="S31" s="8">
        <f ca="1"/>
        <v>4.2737312752603514E-2</v>
      </c>
      <c r="T31" s="8">
        <f ca="1"/>
        <v>5.2551426445710057E-2</v>
      </c>
      <c r="U31" s="74">
        <f ca="1"/>
        <v>6.4511915647244594E-2</v>
      </c>
      <c r="V31" s="25">
        <f ca="1"/>
        <v>1.02193344E-2</v>
      </c>
      <c r="X31" s="9">
        <f t="shared" ref="X31:X33" ca="1" si="8">R31/$V31</f>
        <v>3.3945441304214325</v>
      </c>
      <c r="Y31" s="9">
        <f t="shared" ca="1" si="4"/>
        <v>4.1820055083630017</v>
      </c>
      <c r="Z31" s="9">
        <f t="shared" ca="1" si="4"/>
        <v>5.1423531502903019</v>
      </c>
      <c r="AA31" s="9">
        <f t="shared" ca="1" si="4"/>
        <v>6.3127316439752272</v>
      </c>
      <c r="AD31" s="36">
        <f ca="1"/>
        <v>0.18669992717317879</v>
      </c>
      <c r="AE31" s="36">
        <f ca="1"/>
        <v>0.23001030295996511</v>
      </c>
      <c r="AF31" s="36">
        <f ca="1"/>
        <v>0.28282942326596661</v>
      </c>
      <c r="AG31" s="36">
        <f ca="1"/>
        <v>0.34720024041863751</v>
      </c>
      <c r="AI31" s="38">
        <f ca="1"/>
        <v>9.0908686566095714E-2</v>
      </c>
      <c r="AJ31" s="38">
        <f ca="1"/>
        <v>0.11199755059017555</v>
      </c>
      <c r="AK31" s="38">
        <f ca="1"/>
        <v>0.13771645110233924</v>
      </c>
      <c r="AL31" s="38">
        <f ca="1"/>
        <v>0.16906015074453329</v>
      </c>
      <c r="AN31" s="40">
        <f t="shared" ref="AN31:AN33" ca="1" si="9">$I$23+($I$24*AI31^$I$25+$I$22)^-1</f>
        <v>0.54784417742855651</v>
      </c>
      <c r="AO31" s="40">
        <f t="shared" ca="1" si="5"/>
        <v>0.60310333725825238</v>
      </c>
      <c r="AP31" s="40">
        <f t="shared" ca="1" si="5"/>
        <v>0.65615396800516679</v>
      </c>
      <c r="AQ31" s="40">
        <f t="shared" ca="1" si="5"/>
        <v>0.7059104568068556</v>
      </c>
      <c r="AS31" s="41">
        <f ca="1"/>
        <v>0.30613382851399723</v>
      </c>
      <c r="AT31" s="41">
        <f ca="1"/>
        <v>0.43905532804853459</v>
      </c>
      <c r="AU31" s="41">
        <f ca="1"/>
        <v>0.52411898154021053</v>
      </c>
      <c r="AV31" s="41">
        <f ca="1"/>
        <v>0.58193102979059441</v>
      </c>
      <c r="AX31" s="33">
        <f t="shared" ref="AX31:BA33" ca="1" si="10">(K15-(AD31/AN31/($Q31/12))^2/2/32.17)/K15</f>
        <v>0.30613382851399723</v>
      </c>
      <c r="AY31" s="33">
        <f t="shared" ca="1" si="10"/>
        <v>0.43905532804853459</v>
      </c>
      <c r="AZ31" s="33">
        <f t="shared" ca="1" si="10"/>
        <v>0.52411898154021053</v>
      </c>
      <c r="BA31" s="35">
        <f t="shared" ca="1" si="10"/>
        <v>0.58193102979059441</v>
      </c>
    </row>
    <row r="32" spans="2:53" x14ac:dyDescent="0.25">
      <c r="B32" s="1" t="s">
        <v>20</v>
      </c>
      <c r="C32">
        <f>C16^C$31/(C$30+C16^C$31)</f>
        <v>0.95520926207160539</v>
      </c>
      <c r="F32" s="79">
        <v>3.2</v>
      </c>
      <c r="G32" s="80">
        <f>1.5421*0+1.5</f>
        <v>1.5</v>
      </c>
      <c r="K32" s="63">
        <f t="shared" ca="1" si="7"/>
        <v>0.70236921449784051</v>
      </c>
      <c r="L32" s="94">
        <f t="shared" ca="1" si="7"/>
        <v>0.88604636748603849</v>
      </c>
      <c r="M32" s="94">
        <f t="shared" ca="1" si="7"/>
        <v>1.1108938917788505</v>
      </c>
      <c r="N32" s="65">
        <f t="shared" ca="1" si="7"/>
        <v>1.3795037890321116</v>
      </c>
      <c r="O32" s="24">
        <v>0.3</v>
      </c>
      <c r="Q32" s="18">
        <v>0.5</v>
      </c>
      <c r="R32" s="72">
        <f ca="1"/>
        <v>6.5252235229261463E-2</v>
      </c>
      <c r="S32" s="8">
        <f ca="1"/>
        <v>8.2316401120410138E-2</v>
      </c>
      <c r="T32" s="8">
        <f ca="1"/>
        <v>0.10320541966368622</v>
      </c>
      <c r="U32" s="74">
        <f ca="1"/>
        <v>0.12816009569260184</v>
      </c>
      <c r="V32" s="25">
        <f ca="1"/>
        <v>2.7870912000000001E-2</v>
      </c>
      <c r="X32" s="9">
        <f t="shared" ca="1" si="8"/>
        <v>2.3412307149928018</v>
      </c>
      <c r="Y32" s="9">
        <f t="shared" ca="1" si="4"/>
        <v>2.9534878916201284</v>
      </c>
      <c r="Z32" s="9">
        <f t="shared" ca="1" si="4"/>
        <v>3.7029796392628351</v>
      </c>
      <c r="AA32" s="9">
        <f t="shared" ca="1" si="4"/>
        <v>4.5983459634403721</v>
      </c>
      <c r="AD32" s="36">
        <f ca="1"/>
        <v>0.35118460724892026</v>
      </c>
      <c r="AE32" s="36">
        <f ca="1"/>
        <v>0.44302318374301924</v>
      </c>
      <c r="AF32" s="36">
        <f ca="1"/>
        <v>0.55544694588942523</v>
      </c>
      <c r="AG32" s="36">
        <f ca="1"/>
        <v>0.68975189451605579</v>
      </c>
      <c r="AI32" s="38">
        <f ca="1"/>
        <v>8.5500117409301121E-2</v>
      </c>
      <c r="AJ32" s="38">
        <f ca="1"/>
        <v>0.10785932368106943</v>
      </c>
      <c r="AK32" s="38">
        <f ca="1"/>
        <v>0.13523024104106601</v>
      </c>
      <c r="AL32" s="38">
        <f ca="1"/>
        <v>0.16792839648182495</v>
      </c>
      <c r="AN32" s="40">
        <f t="shared" ca="1" si="9"/>
        <v>0.53147036894936173</v>
      </c>
      <c r="AO32" s="40">
        <f t="shared" ca="1" si="5"/>
        <v>0.59321956866413539</v>
      </c>
      <c r="AP32" s="40">
        <f t="shared" ca="1" si="5"/>
        <v>0.65157947318040954</v>
      </c>
      <c r="AQ32" s="40">
        <f t="shared" ca="1" si="5"/>
        <v>0.70433623870900897</v>
      </c>
      <c r="AS32" s="41">
        <f ca="1"/>
        <v>0.25266293932016964</v>
      </c>
      <c r="AT32" s="41">
        <f ca="1"/>
        <v>0.41939659750545821</v>
      </c>
      <c r="AU32" s="41">
        <f ca="1"/>
        <v>0.51789647923527371</v>
      </c>
      <c r="AV32" s="41">
        <f ca="1"/>
        <v>0.58034015946201944</v>
      </c>
      <c r="AX32" s="33">
        <f t="shared" ca="1" si="10"/>
        <v>0.25266293932016964</v>
      </c>
      <c r="AY32" s="33">
        <f t="shared" ca="1" si="10"/>
        <v>0.41939659750545821</v>
      </c>
      <c r="AZ32" s="33">
        <f t="shared" ca="1" si="10"/>
        <v>0.51789647923527371</v>
      </c>
      <c r="BA32" s="35">
        <f t="shared" ca="1" si="10"/>
        <v>0.58034015946201944</v>
      </c>
    </row>
    <row r="33" spans="2:53" ht="15.75" thickBot="1" x14ac:dyDescent="0.3">
      <c r="B33" s="1" t="s">
        <v>24</v>
      </c>
      <c r="C33">
        <f>C32*C18</f>
        <v>8.9345473086529195E-2</v>
      </c>
      <c r="F33" s="79">
        <v>-0.17499999999999999</v>
      </c>
      <c r="K33" s="66">
        <f t="shared" ca="1" si="7"/>
        <v>1.267299570462564</v>
      </c>
      <c r="L33" s="67">
        <f t="shared" ca="1" si="7"/>
        <v>1.6304260659416592</v>
      </c>
      <c r="M33" s="67">
        <f t="shared" ca="1" si="7"/>
        <v>2.1083424643145778</v>
      </c>
      <c r="N33" s="68">
        <f t="shared" ca="1" si="7"/>
        <v>2.6804007606011484</v>
      </c>
      <c r="O33" s="24">
        <v>0.7</v>
      </c>
      <c r="Q33" s="18">
        <v>1</v>
      </c>
      <c r="R33" s="75">
        <f ca="1"/>
        <v>0.11773598268666641</v>
      </c>
      <c r="S33" s="76">
        <f ca="1"/>
        <v>0.1514715380212206</v>
      </c>
      <c r="T33" s="76">
        <f ca="1"/>
        <v>0.19587142429591581</v>
      </c>
      <c r="U33" s="77">
        <f ca="1"/>
        <v>0.24901737907815893</v>
      </c>
      <c r="V33" s="25">
        <f ca="1"/>
        <v>6.5032127999999995E-2</v>
      </c>
      <c r="X33" s="9">
        <f t="shared" ca="1" si="8"/>
        <v>1.8104279578036631</v>
      </c>
      <c r="Y33" s="9">
        <f t="shared" ca="1" si="4"/>
        <v>2.3291800942023704</v>
      </c>
      <c r="Z33" s="9">
        <f t="shared" ca="1" si="4"/>
        <v>3.0119178061636829</v>
      </c>
      <c r="AA33" s="9">
        <f t="shared" ca="1" si="4"/>
        <v>3.8291439437159269</v>
      </c>
      <c r="AD33" s="36">
        <f ca="1"/>
        <v>0.63364978523128201</v>
      </c>
      <c r="AE33" s="36">
        <f ca="1"/>
        <v>0.81521303297082959</v>
      </c>
      <c r="AF33" s="36">
        <f ca="1"/>
        <v>1.0541712321572889</v>
      </c>
      <c r="AG33" s="36">
        <f ca="1"/>
        <v>1.3402003803005742</v>
      </c>
      <c r="AI33" s="38">
        <f ca="1"/>
        <v>7.7134831532140888E-2</v>
      </c>
      <c r="AJ33" s="38">
        <f ca="1"/>
        <v>9.9236709972305728E-2</v>
      </c>
      <c r="AK33" s="38">
        <f ca="1"/>
        <v>0.1283253341099177</v>
      </c>
      <c r="AL33" s="38">
        <f ca="1"/>
        <v>0.16314395264264736</v>
      </c>
      <c r="AN33" s="40">
        <f t="shared" ca="1" si="9"/>
        <v>0.50402416926554727</v>
      </c>
      <c r="AO33" s="40">
        <f t="shared" ca="1" si="5"/>
        <v>0.57118440412008098</v>
      </c>
      <c r="AP33" s="40">
        <f t="shared" ca="1" si="5"/>
        <v>0.63829956742341865</v>
      </c>
      <c r="AQ33" s="40">
        <f t="shared" ca="1" si="5"/>
        <v>0.69751604062128725</v>
      </c>
      <c r="AS33" s="41">
        <f ca="1"/>
        <v>0.14027504806188831</v>
      </c>
      <c r="AT33" s="41">
        <f ca="1"/>
        <v>0.36974121336147969</v>
      </c>
      <c r="AU33" s="41">
        <f ca="1"/>
        <v>0.49877821663995481</v>
      </c>
      <c r="AV33" s="41">
        <f ca="1"/>
        <v>0.57328804394686428</v>
      </c>
      <c r="AX33" s="33">
        <f t="shared" ca="1" si="10"/>
        <v>0.14027504806188831</v>
      </c>
      <c r="AY33" s="33">
        <f t="shared" ca="1" si="10"/>
        <v>0.36974121336147969</v>
      </c>
      <c r="AZ33" s="33">
        <f t="shared" ca="1" si="10"/>
        <v>0.49877821663995481</v>
      </c>
      <c r="BA33" s="35">
        <f t="shared" ca="1" si="10"/>
        <v>0.57328804394686428</v>
      </c>
    </row>
    <row r="34" spans="2:53" ht="15.75" thickBot="1" x14ac:dyDescent="0.3">
      <c r="B34" t="s">
        <v>19</v>
      </c>
      <c r="C34" s="12">
        <f>C32*C18*C4</f>
        <v>13.494335442509851</v>
      </c>
      <c r="D34" t="s">
        <v>3</v>
      </c>
    </row>
    <row r="35" spans="2:53" ht="18" x14ac:dyDescent="0.35">
      <c r="J35" s="1" t="s">
        <v>33</v>
      </c>
      <c r="K35" s="8" t="e">
        <f t="shared" ref="K35:N39" ca="1" si="11">K29/($J13/12)/$C$3</f>
        <v>#DIV/0!</v>
      </c>
      <c r="L35" s="8" t="e">
        <f t="shared" ca="1" si="11"/>
        <v>#DIV/0!</v>
      </c>
      <c r="M35" s="8" t="e">
        <f t="shared" ca="1" si="11"/>
        <v>#DIV/0!</v>
      </c>
      <c r="N35" s="8" t="e">
        <f ca="1">N29/($J13/12)/$C$3</f>
        <v>#DIV/0!</v>
      </c>
      <c r="P35" s="8"/>
      <c r="AD35" s="1" t="s">
        <v>68</v>
      </c>
      <c r="AE35" s="1"/>
      <c r="AO35" s="30"/>
    </row>
    <row r="36" spans="2:53" x14ac:dyDescent="0.25">
      <c r="K36" s="37">
        <f t="shared" ca="1" si="11"/>
        <v>0.18657407869994536</v>
      </c>
      <c r="L36" s="37">
        <f t="shared" ca="1" si="11"/>
        <v>0.22645975890964595</v>
      </c>
      <c r="M36" s="37">
        <f t="shared" ca="1" si="11"/>
        <v>0.27636965750378717</v>
      </c>
      <c r="N36" s="37">
        <f ca="1">N30/($J14/12)/$C$3</f>
        <v>0.33871184309222224</v>
      </c>
      <c r="AD36" t="s">
        <v>54</v>
      </c>
      <c r="AN36" s="30"/>
    </row>
    <row r="37" spans="2:53" x14ac:dyDescent="0.25">
      <c r="K37" s="37">
        <f t="shared" ca="1" si="11"/>
        <v>0.18181737313219143</v>
      </c>
      <c r="L37" s="37">
        <f t="shared" ca="1" si="11"/>
        <v>0.2239951011803511</v>
      </c>
      <c r="M37" s="37">
        <f t="shared" ca="1" si="11"/>
        <v>0.27543290220467848</v>
      </c>
      <c r="N37" s="37">
        <f t="shared" ca="1" si="11"/>
        <v>0.33812030148906658</v>
      </c>
      <c r="AC37" s="31" t="s">
        <v>57</v>
      </c>
      <c r="AD37" s="43">
        <v>1E-3</v>
      </c>
      <c r="AE37" s="30">
        <v>0.02</v>
      </c>
      <c r="AF37" s="30">
        <v>0.05</v>
      </c>
      <c r="AG37" s="30">
        <v>0.1</v>
      </c>
      <c r="AH37" s="30">
        <v>0.15</v>
      </c>
      <c r="AI37" s="30">
        <f>AG37+10%</f>
        <v>0.2</v>
      </c>
      <c r="AJ37" s="30">
        <f t="shared" ref="AJ37:AP37" si="12">AI37+10%</f>
        <v>0.30000000000000004</v>
      </c>
      <c r="AK37" s="30">
        <f t="shared" si="12"/>
        <v>0.4</v>
      </c>
      <c r="AL37" s="30">
        <f t="shared" si="12"/>
        <v>0.5</v>
      </c>
      <c r="AM37" s="30">
        <f t="shared" si="12"/>
        <v>0.6</v>
      </c>
      <c r="AN37" s="30">
        <f t="shared" si="12"/>
        <v>0.7</v>
      </c>
      <c r="AO37" s="30">
        <f t="shared" si="12"/>
        <v>0.79999999999999993</v>
      </c>
      <c r="AP37" s="30">
        <f t="shared" si="12"/>
        <v>0.89999999999999991</v>
      </c>
      <c r="AQ37" s="30">
        <v>1</v>
      </c>
    </row>
    <row r="38" spans="2:53" x14ac:dyDescent="0.25">
      <c r="K38" s="37">
        <f t="shared" ca="1" si="11"/>
        <v>0.17100023481860224</v>
      </c>
      <c r="L38" s="37">
        <f t="shared" ca="1" si="11"/>
        <v>0.21571864736213886</v>
      </c>
      <c r="M38" s="37">
        <f t="shared" ca="1" si="11"/>
        <v>0.27046048208213203</v>
      </c>
      <c r="N38" s="37">
        <f t="shared" ca="1" si="11"/>
        <v>0.3358567929636499</v>
      </c>
      <c r="AB38" t="s">
        <v>58</v>
      </c>
      <c r="AC38" s="32" t="s">
        <v>59</v>
      </c>
      <c r="AD38" s="34" cm="1">
        <f t="array" aca="1" ref="AD38:AD41" ca="1">($K14:$K17-($K30:$K33*AD$37/($I$23+($I$24*($K36:$K39*AD$37)^$I$25+$I$22)^-1)/($Q30:$Q33/12))^2/2/gravity)/($K14:$K17)</f>
        <v>0.99968276329516947</v>
      </c>
      <c r="AE38" s="34" cm="1">
        <f t="array" aca="1" ref="AE38:AE41" ca="1">($K14:$K17-($K30:$K33*AE$37/($I$23+($I$24*($K36:$K39*AE$37)^$I$25+$I$22)^-1)/($Q30:$Q33/12))^2/2/gravity)/($K14:$K17)</f>
        <v>0.94758098885749698</v>
      </c>
      <c r="AF38" s="34" cm="1">
        <f t="array" aca="1" ref="AF38:AF41" ca="1">($K14:$K17-($K30:$K33*AF$37/($I$23+($I$24*($K36:$K39*AF$37)^$I$25+$I$22)^-1)/($Q30:$Q33/12))^2/2/gravity)/($K14:$K17)</f>
        <v>0.87123891036234125</v>
      </c>
      <c r="AG38" s="34" cm="1">
        <f t="array" aca="1" ref="AG38:AG41" ca="1">($K14:$K17-($K30:$K33*AG$37/($I$23+($I$24*($K36:$K39*AG$37)^$I$25+$I$22)^-1)/($Q30:$Q33/12))^2/2/gravity)/($K14:$K17)</f>
        <v>0.79500441377702935</v>
      </c>
      <c r="AH38" s="34" cm="1">
        <f t="array" aca="1" ref="AH38:AH41" ca="1">($K14:$K17-($K30:$K33*AH$37/($I$23+($I$24*($K36:$K39*AH$37)^$I$25+$I$22)^-1)/($Q30:$Q33/12))^2/2/gravity)/($K14:$K17)</f>
        <v>0.73842823680501934</v>
      </c>
      <c r="AI38" s="34" cm="1">
        <f t="array" aca="1" ref="AI38:AI41" ca="1">($K14:$K17-($K30:$K33*AI$37/($I$23+($I$24*($K36:$K39*AI$37)^$I$25+$I$22)^-1)/($Q30:$Q33/12))^2/2/gravity)/($K14:$K17)</f>
        <v>0.68595808072769582</v>
      </c>
      <c r="AJ38" s="34" cm="1">
        <f t="array" aca="1" ref="AJ38:AJ41" ca="1">($K14:$K17-($K30:$K33*AJ$37/($I$23+($I$24*($K36:$K39*AJ$37)^$I$25+$I$22)^-1)/($Q30:$Q33/12))^2/2/gravity)/($K14:$K17)</f>
        <v>0.57805355003847936</v>
      </c>
      <c r="AK38" s="34" cm="1">
        <f t="array" aca="1" ref="AK38:AK41" ca="1">($K14:$K17-($K30:$K33*AK$37/($I$23+($I$24*($K36:$K39*AK$37)^$I$25+$I$22)^-1)/($Q30:$Q33/12))^2/2/gravity)/($K14:$K17)</f>
        <v>0.45904545625950516</v>
      </c>
      <c r="AL38" s="34" cm="1">
        <f t="array" aca="1" ref="AL38:AL41" ca="1">($K14:$K17-($K30:$K33*AL$37/($I$23+($I$24*($K36:$K39*AL$37)^$I$25+$I$22)^-1)/($Q30:$Q33/12))^2/2/gravity)/($K14:$K17)</f>
        <v>0.32628558220945919</v>
      </c>
      <c r="AM38" s="34" cm="1">
        <f t="array" aca="1" ref="AM38:AM41" ca="1">($K14:$K17-($K30:$K33*AM$37/($I$23+($I$24*($K36:$K39*AM$37)^$I$25+$I$22)^-1)/($Q30:$Q33/12))^2/2/gravity)/($K14:$K17)</f>
        <v>0.17889254195631807</v>
      </c>
      <c r="AN38" s="34" cm="1">
        <f t="array" aca="1" ref="AN38:AN41" ca="1">($K14:$K17-($K30:$K33*AN$37/($I$23+($I$24*($K36:$K39*AN$37)^$I$25+$I$22)^-1)/($Q30:$Q33/12))^2/2/gravity)/($K14:$K17)</f>
        <v>1.6484850681893606E-2</v>
      </c>
      <c r="AO38" s="34" cm="1">
        <f t="array" aca="1" ref="AO38:AO41" ca="1">($K14:$K17-($K30:$K33*AO$37/($I$23+($I$24*($K36:$K39*AO$37)^$I$25+$I$22)^-1)/($Q30:$Q33/12))^2/2/gravity)/($K14:$K17)</f>
        <v>-0.16113614708682389</v>
      </c>
      <c r="AP38" s="34" cm="1">
        <f t="array" aca="1" ref="AP38:AP41" ca="1">($K14:$K17-($K30:$K33*AP$37/($I$23+($I$24*($K36:$K39*AP$37)^$I$25+$I$22)^-1)/($Q30:$Q33/12))^2/2/gravity)/($K14:$K17)</f>
        <v>-0.35408920308990621</v>
      </c>
      <c r="AQ38" s="34" cm="1">
        <f t="array" aca="1" ref="AQ38:AQ41" ca="1">($K14:$K17-($K30:$K33*AQ$37/($I$23+($I$24*($K36:$K39*AQ$37)^$I$25+$I$22)^-1)/($Q30:$Q33/12))^2/2/gravity)/($K14:$K17)</f>
        <v>-0.56245310512733837</v>
      </c>
    </row>
    <row r="39" spans="2:53" x14ac:dyDescent="0.25">
      <c r="K39" s="37">
        <f t="shared" ca="1" si="11"/>
        <v>0.15426966306428178</v>
      </c>
      <c r="L39" s="37">
        <f t="shared" ca="1" si="11"/>
        <v>0.19847341994461146</v>
      </c>
      <c r="M39" s="37">
        <f t="shared" ca="1" si="11"/>
        <v>0.2566506682198354</v>
      </c>
      <c r="N39" s="37">
        <f t="shared" ca="1" si="11"/>
        <v>0.32628790528529472</v>
      </c>
      <c r="AC39" s="31" t="s">
        <v>60</v>
      </c>
      <c r="AD39" s="34">
        <f ca="1"/>
        <v>0.99968094361705706</v>
      </c>
      <c r="AE39" s="34">
        <f ca="1"/>
        <v>0.94626585765563165</v>
      </c>
      <c r="AF39" s="34">
        <f ca="1"/>
        <v>0.86651134421008458</v>
      </c>
      <c r="AG39" s="34">
        <f ca="1"/>
        <v>0.78653124789127216</v>
      </c>
      <c r="AH39" s="34">
        <f ca="1"/>
        <v>0.72765051159700578</v>
      </c>
      <c r="AI39" s="34">
        <f ca="1"/>
        <v>0.67345996527725327</v>
      </c>
      <c r="AJ39" s="34">
        <f ca="1"/>
        <v>0.56277351746725679</v>
      </c>
      <c r="AK39" s="34">
        <f ca="1"/>
        <v>0.44128904167132843</v>
      </c>
      <c r="AL39" s="34">
        <f ca="1"/>
        <v>0.30613382851399723</v>
      </c>
      <c r="AM39" s="34">
        <f ca="1"/>
        <v>0.15635106337414356</v>
      </c>
      <c r="AN39" s="34">
        <f ca="1"/>
        <v>-8.4720583049924421E-3</v>
      </c>
      <c r="AO39" s="34">
        <f ca="1"/>
        <v>-0.18854925724793389</v>
      </c>
      <c r="AP39" s="34">
        <f ca="1"/>
        <v>-0.38400738500110426</v>
      </c>
      <c r="AQ39" s="34">
        <f ca="1"/>
        <v>-0.59492999180503259</v>
      </c>
    </row>
    <row r="40" spans="2:53" x14ac:dyDescent="0.25">
      <c r="AC40" s="31" t="s">
        <v>61</v>
      </c>
      <c r="AD40" s="34">
        <f ca="1"/>
        <v>0.99967568430557874</v>
      </c>
      <c r="AE40" s="34">
        <f ca="1"/>
        <v>0.94291973780261329</v>
      </c>
      <c r="AF40" s="34">
        <f ca="1"/>
        <v>0.8543073962731349</v>
      </c>
      <c r="AG40" s="34">
        <f ca="1"/>
        <v>0.76435837648318905</v>
      </c>
      <c r="AH40" s="34">
        <f ca="1"/>
        <v>0.69928763666246752</v>
      </c>
      <c r="AI40" s="34">
        <f ca="1"/>
        <v>0.64047805178199491</v>
      </c>
      <c r="AJ40" s="34">
        <f ca="1"/>
        <v>0.52234289640790321</v>
      </c>
      <c r="AK40" s="34">
        <f ca="1"/>
        <v>0.39423513951571942</v>
      </c>
      <c r="AL40" s="34">
        <f ca="1"/>
        <v>0.25266293932016964</v>
      </c>
      <c r="AM40" s="34">
        <f ca="1"/>
        <v>9.6459434928796897E-2</v>
      </c>
      <c r="AN40" s="34">
        <f ca="1"/>
        <v>-7.4875876576759773E-2</v>
      </c>
      <c r="AO40" s="34">
        <f ca="1"/>
        <v>-0.26159901786953055</v>
      </c>
      <c r="AP40" s="34">
        <f ca="1"/>
        <v>-0.46385959548699235</v>
      </c>
      <c r="AQ40" s="34">
        <f ca="1"/>
        <v>-0.68175451786080365</v>
      </c>
    </row>
    <row r="41" spans="2:53" x14ac:dyDescent="0.25">
      <c r="J41" t="s">
        <v>34</v>
      </c>
      <c r="K41" s="9" t="e">
        <f t="shared" ref="K41:N45" ca="1" si="13">K29/($J13/12)</f>
        <v>#DIV/0!</v>
      </c>
      <c r="L41" s="9" t="e">
        <f t="shared" ca="1" si="13"/>
        <v>#DIV/0!</v>
      </c>
      <c r="M41" s="9" t="e">
        <f t="shared" ca="1" si="13"/>
        <v>#DIV/0!</v>
      </c>
      <c r="N41" s="9" t="e">
        <f ca="1">N29/($J13/12)</f>
        <v>#DIV/0!</v>
      </c>
      <c r="P41" s="9"/>
      <c r="AC41" s="31" t="s">
        <v>62</v>
      </c>
      <c r="AD41" s="34">
        <f ca="1"/>
        <v>0.99966300435510624</v>
      </c>
      <c r="AE41" s="34">
        <f ca="1"/>
        <v>0.93637722194714768</v>
      </c>
      <c r="AF41" s="34">
        <f ca="1"/>
        <v>0.82994053106351484</v>
      </c>
      <c r="AG41" s="34">
        <f ca="1"/>
        <v>0.71899412637655469</v>
      </c>
      <c r="AH41" s="34">
        <f ca="1"/>
        <v>0.64063335664444909</v>
      </c>
      <c r="AI41" s="34">
        <f ca="1"/>
        <v>0.57189749264231038</v>
      </c>
      <c r="AJ41" s="34">
        <f ca="1"/>
        <v>0.43782347829495161</v>
      </c>
      <c r="AK41" s="34">
        <f ca="1"/>
        <v>0.29557657194393105</v>
      </c>
      <c r="AL41" s="34">
        <f ca="1"/>
        <v>0.14027504806188831</v>
      </c>
      <c r="AM41" s="34">
        <f ca="1"/>
        <v>-2.9728437848753914E-2</v>
      </c>
      <c r="AN41" s="34">
        <f ca="1"/>
        <v>-0.2151372365013563</v>
      </c>
      <c r="AO41" s="34">
        <f ca="1"/>
        <v>-0.41630582811605538</v>
      </c>
      <c r="AP41" s="34">
        <f ca="1"/>
        <v>-0.63343690429882538</v>
      </c>
      <c r="AQ41" s="34">
        <f ca="1"/>
        <v>-0.86665849915555948</v>
      </c>
    </row>
    <row r="42" spans="2:53" x14ac:dyDescent="0.25">
      <c r="K42" s="9">
        <f t="shared" ca="1" si="13"/>
        <v>18.392099530083215</v>
      </c>
      <c r="L42" s="9">
        <f t="shared" ca="1" si="13"/>
        <v>22.323950113795078</v>
      </c>
      <c r="M42" s="9">
        <f t="shared" ca="1" si="13"/>
        <v>27.243968097408334</v>
      </c>
      <c r="N42" s="9">
        <f ca="1">N30/($J14/12)</f>
        <v>33.389536068345087</v>
      </c>
    </row>
    <row r="43" spans="2:53" x14ac:dyDescent="0.25">
      <c r="K43" s="9">
        <f t="shared" ca="1" si="13"/>
        <v>17.923193008625166</v>
      </c>
      <c r="L43" s="9">
        <f t="shared" ca="1" si="13"/>
        <v>22.080989084156652</v>
      </c>
      <c r="M43" s="9">
        <f t="shared" ca="1" si="13"/>
        <v>27.151624633532794</v>
      </c>
      <c r="N43" s="9">
        <f t="shared" ca="1" si="13"/>
        <v>33.331223080189204</v>
      </c>
      <c r="AD43" t="s">
        <v>55</v>
      </c>
    </row>
    <row r="44" spans="2:53" x14ac:dyDescent="0.25">
      <c r="K44" s="9">
        <f t="shared" ca="1" si="13"/>
        <v>16.856861147948173</v>
      </c>
      <c r="L44" s="9">
        <f t="shared" ca="1" si="13"/>
        <v>21.265112819664925</v>
      </c>
      <c r="M44" s="9">
        <f t="shared" ca="1" si="13"/>
        <v>26.661453402692413</v>
      </c>
      <c r="N44" s="9">
        <f t="shared" ca="1" si="13"/>
        <v>33.108090936770679</v>
      </c>
      <c r="AC44" s="31" t="s">
        <v>57</v>
      </c>
      <c r="AD44" s="43">
        <f>AD37</f>
        <v>1E-3</v>
      </c>
      <c r="AE44" s="30">
        <f>AE37</f>
        <v>0.02</v>
      </c>
      <c r="AF44" s="30">
        <f>AF37</f>
        <v>0.05</v>
      </c>
      <c r="AG44" s="30">
        <f>AG37</f>
        <v>0.1</v>
      </c>
      <c r="AH44" s="30">
        <f>AH37</f>
        <v>0.15</v>
      </c>
      <c r="AI44" s="30">
        <f t="shared" ref="AI44:AP44" si="14">AI37</f>
        <v>0.2</v>
      </c>
      <c r="AJ44" s="30">
        <f t="shared" si="14"/>
        <v>0.30000000000000004</v>
      </c>
      <c r="AK44" s="30">
        <f t="shared" si="14"/>
        <v>0.4</v>
      </c>
      <c r="AL44" s="30">
        <f t="shared" si="14"/>
        <v>0.5</v>
      </c>
      <c r="AM44" s="30">
        <f t="shared" si="14"/>
        <v>0.6</v>
      </c>
      <c r="AN44" s="30">
        <f t="shared" si="14"/>
        <v>0.7</v>
      </c>
      <c r="AO44" s="30">
        <f t="shared" si="14"/>
        <v>0.79999999999999993</v>
      </c>
      <c r="AP44" s="30">
        <f t="shared" si="14"/>
        <v>0.89999999999999991</v>
      </c>
      <c r="AQ44" s="30">
        <f>AQ37</f>
        <v>1</v>
      </c>
    </row>
    <row r="45" spans="2:53" x14ac:dyDescent="0.25">
      <c r="K45" s="9">
        <f t="shared" ca="1" si="13"/>
        <v>15.207594845550769</v>
      </c>
      <c r="L45" s="9">
        <f t="shared" ca="1" si="13"/>
        <v>19.56511279129991</v>
      </c>
      <c r="M45" s="9">
        <f t="shared" ca="1" si="13"/>
        <v>25.300109571774936</v>
      </c>
      <c r="N45" s="9">
        <f t="shared" ca="1" si="13"/>
        <v>32.164809127213786</v>
      </c>
      <c r="AB45" t="s">
        <v>58</v>
      </c>
      <c r="AC45" s="32" t="s">
        <v>59</v>
      </c>
      <c r="AD45" s="34" cm="1">
        <f t="array" aca="1" ref="AD45:AD48" ca="1">($L14:$L17-($L30:$L33*AD$37/($I$23+($I$24*($L36:$L39*AD$37)^$I$25+$I$22)^-1)/($Q30:$Q33/12))^2/2/gravity)/($L14:$L17)</f>
        <v>0.99969111267404309</v>
      </c>
      <c r="AE45" s="34" cm="1">
        <f t="array" aca="1" ref="AE45:AE48" ca="1">($L14:$L17-($L30:$L33*AE$37/($I$23+($I$24*($L36:$L39*AE$37)^$I$25+$I$22)^-1)/($Q30:$Q33/12))^2/2/gravity)/($L14:$L17)</f>
        <v>0.95618381111229878</v>
      </c>
      <c r="AF45" s="34" cm="1">
        <f t="array" aca="1" ref="AF45:AF48" ca="1">($L14:$L17-($L30:$L33*AF$37/($I$23+($I$24*($L36:$L39*AF$37)^$I$25+$I$22)^-1)/($Q30:$Q33/12))^2/2/gravity)/($L14:$L17)</f>
        <v>0.90079962339407715</v>
      </c>
      <c r="AG45" s="34" cm="1">
        <f t="array" aca="1" ref="AG45:AG48" ca="1">($L14:$L17-($L30:$L33*AG$37/($I$23+($I$24*($L36:$L39*AG$37)^$I$25+$I$22)^-1)/($Q30:$Q33/12))^2/2/gravity)/($L14:$L17)</f>
        <v>0.84624118433093642</v>
      </c>
      <c r="AH45" s="34" cm="1">
        <f t="array" aca="1" ref="AH45:AH48" ca="1">($L14:$L17-($L30:$L33*AH$37/($I$23+($I$24*($L36:$L39*AH$37)^$I$25+$I$22)^-1)/($Q30:$Q33/12))^2/2/gravity)/($L14:$L17)</f>
        <v>0.80277746844542708</v>
      </c>
      <c r="AI45" s="34" cm="1">
        <f t="array" aca="1" ref="AI45:AI48" ca="1">($L14:$L17-($L30:$L33*AI$37/($I$23+($I$24*($L36:$L39*AI$37)^$I$25+$I$22)^-1)/($Q30:$Q33/12))^2/2/gravity)/($L14:$L17)</f>
        <v>0.76013490566541064</v>
      </c>
      <c r="AJ45" s="34" cm="1">
        <f t="array" aca="1" ref="AJ45:AJ48" ca="1">($L14:$L17-($L30:$L33*AJ$37/($I$23+($I$24*($L36:$L39*AJ$37)^$I$25+$I$22)^-1)/($Q30:$Q33/12))^2/2/gravity)/($L14:$L17)</f>
        <v>0.66824175329805213</v>
      </c>
      <c r="AK45" s="34" cm="1">
        <f t="array" aca="1" ref="AK45:AK48" ca="1">($L14:$L17-($L30:$L33*AK$37/($I$23+($I$24*($L36:$L39*AK$37)^$I$25+$I$22)^-1)/($Q30:$Q33/12))^2/2/gravity)/($L14:$L17)</f>
        <v>0.56351067922830445</v>
      </c>
      <c r="AL45" s="34" cm="1">
        <f t="array" aca="1" ref="AL45:AL48" ca="1">($L14:$L17-($L30:$L33*AL$37/($I$23+($I$24*($L36:$L39*AL$37)^$I$25+$I$22)^-1)/($Q30:$Q33/12))^2/2/gravity)/($L14:$L17)</f>
        <v>0.44448465735692255</v>
      </c>
      <c r="AM45" s="34" cm="1">
        <f t="array" aca="1" ref="AM45:AM48" ca="1">($L14:$L17-($L30:$L33*AM$37/($I$23+($I$24*($L36:$L39*AM$37)^$I$25+$I$22)^-1)/($Q30:$Q33/12))^2/2/gravity)/($L14:$L17)</f>
        <v>0.31067442880555662</v>
      </c>
      <c r="AN45" s="34" cm="1">
        <f t="array" aca="1" ref="AN45:AN48" ca="1">($L14:$L17-($L30:$L33*AN$37/($I$23+($I$24*($L36:$L39*AN$37)^$I$25+$I$22)^-1)/($Q30:$Q33/12))^2/2/gravity)/($L14:$L17)</f>
        <v>0.16185958604590731</v>
      </c>
      <c r="AO45" s="34" cm="1">
        <f t="array" aca="1" ref="AO45:AO48" ca="1">($L14:$L17-($L30:$L33*AO$37/($I$23+($I$24*($L36:$L39*AO$37)^$I$25+$I$22)^-1)/($Q30:$Q33/12))^2/2/gravity)/($L14:$L17)</f>
        <v>-2.0813522617787123E-3</v>
      </c>
      <c r="AP45" s="34" cm="1">
        <f t="array" aca="1" ref="AP45:AP48" ca="1">($L14:$L17-($L30:$L33*AP$37/($I$23+($I$24*($L36:$L39*AP$37)^$I$25+$I$22)^-1)/($Q30:$Q33/12))^2/2/gravity)/($L14:$L17)</f>
        <v>-0.18122556443918569</v>
      </c>
      <c r="AQ45" s="34" cm="1">
        <f t="array" aca="1" ref="AQ45:AQ48" ca="1">($L14:$L17-($L30:$L33*AQ$37/($I$23+($I$24*($L36:$L39*AQ$37)^$I$25+$I$22)^-1)/($Q30:$Q33/12))^2/2/gravity)/($L14:$L17)</f>
        <v>-0.37562721547730382</v>
      </c>
    </row>
    <row r="46" spans="2:53" x14ac:dyDescent="0.25">
      <c r="AC46" s="31" t="s">
        <v>60</v>
      </c>
      <c r="AD46" s="34">
        <f ca="1"/>
        <v>0.99969083301479478</v>
      </c>
      <c r="AE46" s="34">
        <f ca="1"/>
        <v>0.95574459737371087</v>
      </c>
      <c r="AF46" s="34">
        <f ca="1"/>
        <v>0.89935988786843246</v>
      </c>
      <c r="AG46" s="34">
        <f ca="1"/>
        <v>0.84382306018937703</v>
      </c>
      <c r="AH46" s="34">
        <f ca="1"/>
        <v>0.7997750286665094</v>
      </c>
      <c r="AI46" s="34">
        <f ca="1"/>
        <v>0.75669184947702595</v>
      </c>
      <c r="AJ46" s="34">
        <f ca="1"/>
        <v>0.66407510887989962</v>
      </c>
      <c r="AK46" s="34">
        <f ca="1"/>
        <v>0.55869832166258038</v>
      </c>
      <c r="AL46" s="34">
        <f ca="1"/>
        <v>0.43905532804853459</v>
      </c>
      <c r="AM46" s="34">
        <f ca="1"/>
        <v>0.30464101283235651</v>
      </c>
      <c r="AN46" s="34">
        <f ca="1"/>
        <v>0.15522851707643009</v>
      </c>
      <c r="AO46" s="34">
        <f ca="1"/>
        <v>-9.306725907227021E-3</v>
      </c>
      <c r="AP46" s="34">
        <f ca="1"/>
        <v>-0.18904356499278718</v>
      </c>
      <c r="AQ46" s="34">
        <f ca="1"/>
        <v>-0.3840371656994509</v>
      </c>
    </row>
    <row r="47" spans="2:53" x14ac:dyDescent="0.25">
      <c r="AC47" s="31" t="s">
        <v>61</v>
      </c>
      <c r="AD47" s="34">
        <f ca="1"/>
        <v>0.99968972621803154</v>
      </c>
      <c r="AE47" s="34">
        <f ca="1"/>
        <v>0.95419727995061288</v>
      </c>
      <c r="AF47" s="34">
        <f ca="1"/>
        <v>0.89422128021277936</v>
      </c>
      <c r="AG47" s="34">
        <f ca="1"/>
        <v>0.83512355693896567</v>
      </c>
      <c r="AH47" s="34">
        <f ca="1"/>
        <v>0.78894358893665972</v>
      </c>
      <c r="AI47" s="34">
        <f ca="1"/>
        <v>0.74425583299804254</v>
      </c>
      <c r="AJ47" s="34">
        <f ca="1"/>
        <v>0.64900945147228528</v>
      </c>
      <c r="AK47" s="34">
        <f ca="1"/>
        <v>0.54128607849545185</v>
      </c>
      <c r="AL47" s="34">
        <f ca="1"/>
        <v>0.41939659750545821</v>
      </c>
      <c r="AM47" s="34">
        <f ca="1"/>
        <v>0.28277657835808434</v>
      </c>
      <c r="AN47" s="34">
        <f ca="1"/>
        <v>0.13117498074624967</v>
      </c>
      <c r="AO47" s="34">
        <f ca="1"/>
        <v>-3.5544326279416429E-2</v>
      </c>
      <c r="AP47" s="34">
        <f ca="1"/>
        <v>-0.21746644152928077</v>
      </c>
      <c r="AQ47" s="34">
        <f ca="1"/>
        <v>-0.41465026105829023</v>
      </c>
    </row>
    <row r="48" spans="2:53" x14ac:dyDescent="0.25">
      <c r="AC48" s="31" t="s">
        <v>62</v>
      </c>
      <c r="AD48" s="34">
        <f ca="1"/>
        <v>0.99968633436947052</v>
      </c>
      <c r="AE48" s="34">
        <f ca="1"/>
        <v>0.95054350790131037</v>
      </c>
      <c r="AF48" s="34">
        <f ca="1"/>
        <v>0.88171178509199688</v>
      </c>
      <c r="AG48" s="34">
        <f ca="1"/>
        <v>0.81351854206383822</v>
      </c>
      <c r="AH48" s="34">
        <f ca="1"/>
        <v>0.76185034090092518</v>
      </c>
      <c r="AI48" s="34">
        <f ca="1"/>
        <v>0.71304808486271298</v>
      </c>
      <c r="AJ48" s="34">
        <f ca="1"/>
        <v>0.61109229523251596</v>
      </c>
      <c r="AK48" s="34">
        <f ca="1"/>
        <v>0.49738442402630384</v>
      </c>
      <c r="AL48" s="34">
        <f ca="1"/>
        <v>0.36974121336147969</v>
      </c>
      <c r="AM48" s="34">
        <f ca="1"/>
        <v>0.22743609059987158</v>
      </c>
      <c r="AN48" s="34">
        <f ca="1"/>
        <v>7.0151532867073221E-2</v>
      </c>
      <c r="AO48" s="34">
        <f ca="1"/>
        <v>-0.10228041657797488</v>
      </c>
      <c r="AP48" s="34">
        <f ca="1"/>
        <v>-0.28996200143711082</v>
      </c>
      <c r="AQ48" s="34">
        <f ca="1"/>
        <v>-0.49296228047961266</v>
      </c>
    </row>
    <row r="50" spans="28:43" x14ac:dyDescent="0.25">
      <c r="AD50" s="1" t="s">
        <v>56</v>
      </c>
      <c r="AE50" s="1"/>
      <c r="AF50" s="1"/>
      <c r="AG50" s="1"/>
      <c r="AH50" s="1"/>
    </row>
    <row r="51" spans="28:43" x14ac:dyDescent="0.25">
      <c r="AC51" s="31" t="s">
        <v>57</v>
      </c>
      <c r="AD51" s="43">
        <f>AD37</f>
        <v>1E-3</v>
      </c>
      <c r="AE51" s="30">
        <f>AE37</f>
        <v>0.02</v>
      </c>
      <c r="AF51" s="30">
        <f>AF37</f>
        <v>0.05</v>
      </c>
      <c r="AG51" s="30">
        <f>AG37</f>
        <v>0.1</v>
      </c>
      <c r="AH51" s="30">
        <f>AH37</f>
        <v>0.15</v>
      </c>
      <c r="AI51" s="30">
        <f t="shared" ref="AI51:AP51" si="15">AI37</f>
        <v>0.2</v>
      </c>
      <c r="AJ51" s="30">
        <f t="shared" si="15"/>
        <v>0.30000000000000004</v>
      </c>
      <c r="AK51" s="30">
        <f t="shared" si="15"/>
        <v>0.4</v>
      </c>
      <c r="AL51" s="30">
        <f t="shared" si="15"/>
        <v>0.5</v>
      </c>
      <c r="AM51" s="30">
        <f t="shared" si="15"/>
        <v>0.6</v>
      </c>
      <c r="AN51" s="30">
        <f t="shared" si="15"/>
        <v>0.7</v>
      </c>
      <c r="AO51" s="30">
        <f t="shared" si="15"/>
        <v>0.79999999999999993</v>
      </c>
      <c r="AP51" s="30">
        <f t="shared" si="15"/>
        <v>0.89999999999999991</v>
      </c>
      <c r="AQ51" s="30">
        <f>AQ37</f>
        <v>1</v>
      </c>
    </row>
    <row r="52" spans="28:43" x14ac:dyDescent="0.25">
      <c r="AB52" t="s">
        <v>58</v>
      </c>
      <c r="AC52" s="32" t="s">
        <v>59</v>
      </c>
      <c r="AD52" s="34" cm="1">
        <f t="array" aca="1" ref="AD52:AD55" ca="1">($M14:$M17-($M30:$M33*AD$37/($I$23+($I$24*($M36:$M39*AD$37)^$I$25+$I$22)^-1)/($Q30:$Q33/12))^2/2/gravity)/($M14:$M17)</f>
        <v>0.99969376450746794</v>
      </c>
      <c r="AE52" s="34" cm="1">
        <f t="array" aca="1" ref="AE52:AE55" ca="1">($M14:$M17-($M30:$M33*AE$37/($I$23+($I$24*($M36:$M39*AE$37)^$I$25+$I$22)^-1)/($Q30:$Q33/12))^2/2/gravity)/($M14:$M17)</f>
        <v>0.96350714496272172</v>
      </c>
      <c r="AF52" s="34" cm="1">
        <f t="array" aca="1" ref="AF52:AF55" ca="1">($M14:$M17-($M30:$M33*AF$37/($I$23+($I$24*($M36:$M39*AF$37)^$I$25+$I$22)^-1)/($Q30:$Q33/12))^2/2/gravity)/($M14:$M17)</f>
        <v>0.9234323737756831</v>
      </c>
      <c r="AG52" s="34" cm="1">
        <f t="array" aca="1" ref="AG52:AG55" ca="1">($M14:$M17-($M30:$M33*AG$37/($I$23+($I$24*($M36:$M39*AG$37)^$I$25+$I$22)^-1)/($Q30:$Q33/12))^2/2/gravity)/($M14:$M17)</f>
        <v>0.8830674970180461</v>
      </c>
      <c r="AH52" s="34" cm="1">
        <f t="array" aca="1" ref="AH52:AH55" ca="1">($M14:$M17-($M30:$M33*AH$37/($I$23+($I$24*($M36:$M39*AH$37)^$I$25+$I$22)^-1)/($Q30:$Q33/12))^2/2/gravity)/($M14:$M17)</f>
        <v>0.84803813980835419</v>
      </c>
      <c r="AI52" s="34" cm="1">
        <f t="array" aca="1" ref="AI52:AI55" ca="1">($M14:$M17-($M30:$M33*AI$37/($I$23+($I$24*($M36:$M39*AI$37)^$I$25+$I$22)^-1)/($Q30:$Q33/12))^2/2/gravity)/($M14:$M17)</f>
        <v>0.81181849092345559</v>
      </c>
      <c r="AJ52" s="34" cm="1">
        <f t="array" aca="1" ref="AJ52:AJ55" ca="1">($M14:$M17-($M30:$M33*AJ$37/($I$23+($I$24*($M36:$M39*AJ$37)^$I$25+$I$22)^-1)/($Q30:$Q33/12))^2/2/gravity)/($M14:$M17)</f>
        <v>0.73056203642809181</v>
      </c>
      <c r="AK52" s="34" cm="1">
        <f t="array" aca="1" ref="AK52:AK55" ca="1">($M14:$M17-($M30:$M33*AK$37/($I$23+($I$24*($M36:$M39*AK$37)^$I$25+$I$22)^-1)/($Q30:$Q33/12))^2/2/gravity)/($M14:$M17)</f>
        <v>0.63531051442629771</v>
      </c>
      <c r="AL52" s="34" cm="1">
        <f t="array" aca="1" ref="AL52:AL55" ca="1">($M14:$M17-($M30:$M33*AL$37/($I$23+($I$24*($M36:$M39*AL$37)^$I$25+$I$22)^-1)/($Q30:$Q33/12))^2/2/gravity)/($M14:$M17)</f>
        <v>0.52525593257481396</v>
      </c>
      <c r="AM52" s="34" cm="1">
        <f t="array" aca="1" ref="AM52:AM55" ca="1">($M14:$M17-($M30:$M33*AM$37/($I$23+($I$24*($M36:$M39*AM$37)^$I$25+$I$22)^-1)/($Q30:$Q33/12))^2/2/gravity)/($M14:$M17)</f>
        <v>0.40011519327357303</v>
      </c>
      <c r="AN52" s="34" cm="1">
        <f t="array" aca="1" ref="AN52:AN55" ca="1">($M14:$M17-($M30:$M33*AN$37/($I$23+($I$24*($M36:$M39*AN$37)^$I$25+$I$22)^-1)/($Q30:$Q33/12))^2/2/gravity)/($M14:$M17)</f>
        <v>0.2597513491411258</v>
      </c>
      <c r="AO52" s="34" cm="1">
        <f t="array" aca="1" ref="AO52:AO55" ca="1">($M14:$M17-($M30:$M33*AO$37/($I$23+($I$24*($M36:$M39*AO$37)^$I$25+$I$22)^-1)/($Q30:$Q33/12))^2/2/gravity)/($M14:$M17)</f>
        <v>0.10408298470555173</v>
      </c>
      <c r="AP52" s="34" cm="1">
        <f t="array" aca="1" ref="AP52:AP55" ca="1">($M14:$M17-($M30:$M33*AP$37/($I$23+($I$24*($M36:$M39*AP$37)^$I$25+$I$22)^-1)/($Q30:$Q33/12))^2/2/gravity)/($M14:$M17)</f>
        <v>-6.6945131979648811E-2</v>
      </c>
      <c r="AQ52" s="34" cm="1">
        <f t="array" aca="1" ref="AQ52:AQ55" ca="1">($M14:$M17-($M30:$M33*AQ$37/($I$23+($I$24*($M36:$M39*AQ$37)^$I$25+$I$22)^-1)/($Q30:$Q33/12))^2/2/gravity)/($M14:$M17)</f>
        <v>-0.2533737847846172</v>
      </c>
    </row>
    <row r="53" spans="28:43" x14ac:dyDescent="0.25">
      <c r="AC53" s="31" t="s">
        <v>60</v>
      </c>
      <c r="AD53" s="34">
        <f ca="1"/>
        <v>0.99969374841468794</v>
      </c>
      <c r="AE53" s="34">
        <f ca="1"/>
        <v>0.9633914100225085</v>
      </c>
      <c r="AF53" s="34">
        <f ca="1"/>
        <v>0.92309618254970238</v>
      </c>
      <c r="AG53" s="34">
        <f ca="1"/>
        <v>0.8825375295694502</v>
      </c>
      <c r="AH53" s="34">
        <f ca="1"/>
        <v>0.84739309842773036</v>
      </c>
      <c r="AI53" s="34">
        <f ca="1"/>
        <v>0.81108472477877891</v>
      </c>
      <c r="AJ53" s="34">
        <f ca="1"/>
        <v>0.72968003341304732</v>
      </c>
      <c r="AK53" s="34">
        <f ca="1"/>
        <v>0.63429676690839309</v>
      </c>
      <c r="AL53" s="34">
        <f ca="1"/>
        <v>0.52411898154021053</v>
      </c>
      <c r="AM53" s="34">
        <f ca="1"/>
        <v>0.39886109458220537</v>
      </c>
      <c r="AN53" s="34">
        <f ca="1"/>
        <v>0.25838515521765604</v>
      </c>
      <c r="AO53" s="34">
        <f ca="1"/>
        <v>0.10260926197439386</v>
      </c>
      <c r="AP53" s="34">
        <f ca="1"/>
        <v>-6.8522088288029637E-2</v>
      </c>
      <c r="AQ53" s="34">
        <f ca="1"/>
        <v>-0.25504984903489475</v>
      </c>
    </row>
    <row r="54" spans="28:43" x14ac:dyDescent="0.25">
      <c r="AC54" s="31" t="s">
        <v>61</v>
      </c>
      <c r="AD54" s="34">
        <f ca="1"/>
        <v>0.999693649092114</v>
      </c>
      <c r="AE54" s="34">
        <f ca="1"/>
        <v>0.96276562722091175</v>
      </c>
      <c r="AF54" s="34">
        <f ca="1"/>
        <v>0.92126594144680041</v>
      </c>
      <c r="AG54" s="34">
        <f ca="1"/>
        <v>0.87964305839696255</v>
      </c>
      <c r="AH54" s="34">
        <f ca="1"/>
        <v>0.84386687276379424</v>
      </c>
      <c r="AI54" s="34">
        <f ca="1"/>
        <v>0.80707209998996077</v>
      </c>
      <c r="AJ54" s="34">
        <f ca="1"/>
        <v>0.72485547833156971</v>
      </c>
      <c r="AK54" s="34">
        <f ca="1"/>
        <v>0.62875030970037593</v>
      </c>
      <c r="AL54" s="34">
        <f ca="1"/>
        <v>0.51789647923527371</v>
      </c>
      <c r="AM54" s="34">
        <f ca="1"/>
        <v>0.39199457949618388</v>
      </c>
      <c r="AN54" s="34">
        <f ca="1"/>
        <v>0.25090107800046685</v>
      </c>
      <c r="AO54" s="34">
        <f ca="1"/>
        <v>9.4531373502231106E-2</v>
      </c>
      <c r="AP54" s="34">
        <f ca="1"/>
        <v>-7.7171540082356771E-2</v>
      </c>
      <c r="AQ54" s="34">
        <f ca="1"/>
        <v>-0.26424955328320099</v>
      </c>
    </row>
    <row r="55" spans="28:43" x14ac:dyDescent="0.25">
      <c r="AC55" s="31" t="s">
        <v>62</v>
      </c>
      <c r="AD55" s="34">
        <f ca="1"/>
        <v>0.99969322608826561</v>
      </c>
      <c r="AE55" s="34">
        <f ca="1"/>
        <v>0.96091841993177807</v>
      </c>
      <c r="AF55" s="34">
        <f ca="1"/>
        <v>0.91574236615606874</v>
      </c>
      <c r="AG55" s="34">
        <f ca="1"/>
        <v>0.87081331100722748</v>
      </c>
      <c r="AH55" s="34">
        <f ca="1"/>
        <v>0.83307575654045563</v>
      </c>
      <c r="AI55" s="34">
        <f ca="1"/>
        <v>0.79477772593394713</v>
      </c>
      <c r="AJ55" s="34">
        <f ca="1"/>
        <v>0.71005921204437883</v>
      </c>
      <c r="AK55" s="34">
        <f ca="1"/>
        <v>0.61172688525949703</v>
      </c>
      <c r="AL55" s="34">
        <f ca="1"/>
        <v>0.49877821663995481</v>
      </c>
      <c r="AM55" s="34">
        <f ca="1"/>
        <v>0.37086900412027796</v>
      </c>
      <c r="AN55" s="34">
        <f ca="1"/>
        <v>0.22783762531082727</v>
      </c>
      <c r="AO55" s="34">
        <f ca="1"/>
        <v>6.9590762206728482E-2</v>
      </c>
      <c r="AP55" s="34">
        <f ca="1"/>
        <v>-0.10393340941415857</v>
      </c>
      <c r="AQ55" s="34">
        <f ca="1"/>
        <v>-0.29277975622570224</v>
      </c>
    </row>
    <row r="57" spans="28:43" x14ac:dyDescent="0.25">
      <c r="AD57" s="1" t="s">
        <v>63</v>
      </c>
      <c r="AE57" s="1"/>
      <c r="AF57" s="1"/>
      <c r="AG57" s="1"/>
      <c r="AH57" s="1"/>
    </row>
    <row r="58" spans="28:43" x14ac:dyDescent="0.25">
      <c r="AC58" s="31" t="s">
        <v>57</v>
      </c>
      <c r="AD58" s="43">
        <f>AD37</f>
        <v>1E-3</v>
      </c>
      <c r="AE58" s="30">
        <f>AE37</f>
        <v>0.02</v>
      </c>
      <c r="AF58" s="30">
        <f>AF37</f>
        <v>0.05</v>
      </c>
      <c r="AG58" s="30">
        <f>AG37</f>
        <v>0.1</v>
      </c>
      <c r="AH58" s="30">
        <f>AH37</f>
        <v>0.15</v>
      </c>
      <c r="AI58" s="30">
        <f t="shared" ref="AI58:AP58" si="16">AI37</f>
        <v>0.2</v>
      </c>
      <c r="AJ58" s="30">
        <f t="shared" si="16"/>
        <v>0.30000000000000004</v>
      </c>
      <c r="AK58" s="30">
        <f t="shared" si="16"/>
        <v>0.4</v>
      </c>
      <c r="AL58" s="30">
        <f t="shared" si="16"/>
        <v>0.5</v>
      </c>
      <c r="AM58" s="30">
        <f t="shared" si="16"/>
        <v>0.6</v>
      </c>
      <c r="AN58" s="30">
        <f t="shared" si="16"/>
        <v>0.7</v>
      </c>
      <c r="AO58" s="30">
        <f t="shared" si="16"/>
        <v>0.79999999999999993</v>
      </c>
      <c r="AP58" s="30">
        <f t="shared" si="16"/>
        <v>0.89999999999999991</v>
      </c>
      <c r="AQ58" s="30">
        <f>AQ37</f>
        <v>1</v>
      </c>
    </row>
    <row r="59" spans="28:43" x14ac:dyDescent="0.25">
      <c r="AB59" t="s">
        <v>58</v>
      </c>
      <c r="AC59" s="32" t="s">
        <v>59</v>
      </c>
      <c r="AD59" s="34" cm="1">
        <f t="array" aca="1" ref="AD59:AD62" ca="1">($N14:$N17-($N30:$N33*AD$37/($I$23+($I$24*($N36:$N39*AD$37)^$I$25+$I$22)^-1)/($Q30:$Q33/12))^2/2/gravity)/($N14:$N17)</f>
        <v>0.99969379114773382</v>
      </c>
      <c r="AE59" s="34" cm="1">
        <f t="array" aca="1" ref="AE59:AE62" ca="1">($N14:$N17-($N30:$N33*AE$37/($I$23+($I$24*($N36:$N39*AE$37)^$I$25+$I$22)^-1)/($Q30:$Q33/12))^2/2/gravity)/($N14:$N17)</f>
        <v>0.9699780822224715</v>
      </c>
      <c r="AF59" s="34" cm="1">
        <f t="array" aca="1" ref="AF59:AF62" ca="1">($N14:$N17-($N30:$N33*AF$37/($I$23+($I$24*($N36:$N39*AF$37)^$I$25+$I$22)^-1)/($Q30:$Q33/12))^2/2/gravity)/($N14:$N17)</f>
        <v>0.94106727537169566</v>
      </c>
      <c r="AG59" s="34" cm="1">
        <f t="array" aca="1" ref="AG59:AG62" ca="1">($N14:$N17-($N30:$N33*AG$37/($I$23+($I$24*($N36:$N39*AG$37)^$I$25+$I$22)^-1)/($Q30:$Q33/12))^2/2/gravity)/($N14:$N17)</f>
        <v>0.91011176864101972</v>
      </c>
      <c r="AH59" s="34" cm="1">
        <f t="array" aca="1" ref="AH59:AH62" ca="1">($N14:$N17-($N30:$N33*AH$37/($I$23+($I$24*($N36:$N39*AH$37)^$I$25+$I$22)^-1)/($Q30:$Q33/12))^2/2/gravity)/($N14:$N17)</f>
        <v>0.88071511947084702</v>
      </c>
      <c r="AI59" s="34" cm="1">
        <f t="array" aca="1" ref="AI59:AI62" ca="1">($N14:$N17-($N30:$N33*AI$37/($I$23+($I$24*($N36:$N39*AI$37)^$I$25+$I$22)^-1)/($Q30:$Q33/12))^2/2/gravity)/($N14:$N17)</f>
        <v>0.84889941054556373</v>
      </c>
      <c r="AJ59" s="34" cm="1">
        <f t="array" aca="1" ref="AJ59:AJ62" ca="1">($N14:$N17-($N30:$N33*AJ$37/($I$23+($I$24*($N36:$N39*AJ$37)^$I$25+$I$22)^-1)/($Q30:$Q33/12))^2/2/gravity)/($N14:$N17)</f>
        <v>0.77505467599112554</v>
      </c>
      <c r="AK59" s="34" cm="1">
        <f t="array" aca="1" ref="AK59:AK62" ca="1">($N14:$N17-($N30:$N33*AK$37/($I$23+($I$24*($N36:$N39*AK$37)^$I$25+$I$22)^-1)/($Q30:$Q33/12))^2/2/gravity)/($N14:$N17)</f>
        <v>0.68635548898584509</v>
      </c>
      <c r="AL59" s="34" cm="1">
        <f t="array" aca="1" ref="AL59:AL62" ca="1">($N14:$N17-($N30:$N33*AL$37/($I$23+($I$24*($N36:$N39*AL$37)^$I$25+$I$22)^-1)/($Q30:$Q33/12))^2/2/gravity)/($N14:$N17)</f>
        <v>0.58234214380730021</v>
      </c>
      <c r="AM59" s="34" cm="1">
        <f t="array" aca="1" ref="AM59:AM62" ca="1">($N14:$N17-($N30:$N33*AM$37/($I$23+($I$24*($N36:$N39*AM$37)^$I$25+$I$22)^-1)/($Q30:$Q33/12))^2/2/gravity)/($N14:$N17)</f>
        <v>0.46283941049505994</v>
      </c>
      <c r="AN59" s="34" cm="1">
        <f t="array" aca="1" ref="AN59:AN62" ca="1">($N14:$N17-($N30:$N33*AN$37/($I$23+($I$24*($N36:$N39*AN$37)^$I$25+$I$22)^-1)/($Q30:$Q33/12))^2/2/gravity)/($N14:$N17)</f>
        <v>0.32775411535117549</v>
      </c>
      <c r="AO59" s="34" cm="1">
        <f t="array" aca="1" ref="AO59:AO62" ca="1">($N14:$N17-($N30:$N33*AO$37/($I$23+($I$24*($N36:$N39*AO$37)^$I$25+$I$22)^-1)/($Q30:$Q33/12))^2/2/gravity)/($N14:$N17)</f>
        <v>0.17702640629491792</v>
      </c>
      <c r="AP59" s="34" cm="1">
        <f t="array" aca="1" ref="AP59:AP62" ca="1">($N14:$N17-($N30:$N33*AP$37/($I$23+($I$24*($N36:$N39*AP$37)^$I$25+$I$22)^-1)/($Q30:$Q33/12))^2/2/gravity)/($N14:$N17)</f>
        <v>1.0613397971245126E-2</v>
      </c>
      <c r="AQ59" s="34" cm="1">
        <f t="array" aca="1" ref="AQ59:AQ62" ca="1">($N14:$N17-($N30:$N33*AQ$37/($I$23+($I$24*($N36:$N39*AQ$37)^$I$25+$I$22)^-1)/($Q30:$Q33/12))^2/2/gravity)/($N14:$N17)</f>
        <v>-0.17151773583348109</v>
      </c>
    </row>
    <row r="60" spans="28:43" x14ac:dyDescent="0.25">
      <c r="AC60" s="31" t="s">
        <v>60</v>
      </c>
      <c r="AD60" s="34">
        <f ca="1"/>
        <v>0.99969379575633566</v>
      </c>
      <c r="AE60" s="34">
        <f ca="1"/>
        <v>0.96992608974483552</v>
      </c>
      <c r="AF60" s="34">
        <f ca="1"/>
        <v>0.94093471565968101</v>
      </c>
      <c r="AG60" s="34">
        <f ca="1"/>
        <v>0.90991404196237324</v>
      </c>
      <c r="AH60" s="34">
        <f ca="1"/>
        <v>0.8804778408643843</v>
      </c>
      <c r="AI60" s="34">
        <f ca="1"/>
        <v>0.84863069842497341</v>
      </c>
      <c r="AJ60" s="34">
        <f ca="1"/>
        <v>0.77473268116706862</v>
      </c>
      <c r="AK60" s="34">
        <f ca="1"/>
        <v>0.68598673675231714</v>
      </c>
      <c r="AL60" s="34">
        <f ca="1"/>
        <v>0.58193102979059441</v>
      </c>
      <c r="AM60" s="34">
        <f ca="1"/>
        <v>0.46238967538707509</v>
      </c>
      <c r="AN60" s="34">
        <f ca="1"/>
        <v>0.32726923084356252</v>
      </c>
      <c r="AO60" s="34">
        <f ca="1"/>
        <v>0.1765097079065025</v>
      </c>
      <c r="AP60" s="34">
        <f ca="1"/>
        <v>1.0068140365701158E-2</v>
      </c>
      <c r="AQ60" s="34">
        <f ca="1"/>
        <v>-0.17208835214626128</v>
      </c>
    </row>
    <row r="61" spans="28:43" x14ac:dyDescent="0.25">
      <c r="AC61" s="31" t="s">
        <v>61</v>
      </c>
      <c r="AD61" s="34">
        <f ca="1"/>
        <v>0.99969381310053118</v>
      </c>
      <c r="AE61" s="34">
        <f ca="1"/>
        <v>0.96972574534646327</v>
      </c>
      <c r="AF61" s="34">
        <f ca="1"/>
        <v>0.94042254272922321</v>
      </c>
      <c r="AG61" s="34">
        <f ca="1"/>
        <v>0.90914929203093464</v>
      </c>
      <c r="AH61" s="34">
        <f ca="1"/>
        <v>0.87955990440140697</v>
      </c>
      <c r="AI61" s="34">
        <f ca="1"/>
        <v>0.84759109985570547</v>
      </c>
      <c r="AJ61" s="34">
        <f ca="1"/>
        <v>0.77348690483393856</v>
      </c>
      <c r="AK61" s="34">
        <f ca="1"/>
        <v>0.68455996831381416</v>
      </c>
      <c r="AL61" s="34">
        <f ca="1"/>
        <v>0.58034015946201944</v>
      </c>
      <c r="AM61" s="34">
        <f ca="1"/>
        <v>0.46064904205719243</v>
      </c>
      <c r="AN61" s="34">
        <f ca="1"/>
        <v>0.32539212624397412</v>
      </c>
      <c r="AO61" s="34">
        <f ca="1"/>
        <v>0.17450889437492265</v>
      </c>
      <c r="AP61" s="34">
        <f ca="1"/>
        <v>7.9560664074086185E-3</v>
      </c>
      <c r="AQ61" s="34">
        <f ca="1"/>
        <v>-0.17429944788560806</v>
      </c>
    </row>
    <row r="62" spans="28:43" x14ac:dyDescent="0.25">
      <c r="AC62" s="31" t="s">
        <v>62</v>
      </c>
      <c r="AD62" s="34">
        <f ca="1"/>
        <v>0.99969387980711444</v>
      </c>
      <c r="AE62" s="34">
        <f ca="1"/>
        <v>0.96885350158746775</v>
      </c>
      <c r="AF62" s="34">
        <f ca="1"/>
        <v>0.93816716284862234</v>
      </c>
      <c r="AG62" s="34">
        <f ca="1"/>
        <v>0.90576671339684933</v>
      </c>
      <c r="AH62" s="34">
        <f ca="1"/>
        <v>0.87549567743931445</v>
      </c>
      <c r="AI62" s="34">
        <f ca="1"/>
        <v>0.8429870254537799</v>
      </c>
      <c r="AJ62" s="34">
        <f ca="1"/>
        <v>0.76796894577664943</v>
      </c>
      <c r="AK62" s="34">
        <f ca="1"/>
        <v>0.67823859733941894</v>
      </c>
      <c r="AL62" s="34">
        <f ca="1"/>
        <v>0.57328804394686428</v>
      </c>
      <c r="AM62" s="34">
        <f ca="1"/>
        <v>0.4529272156551104</v>
      </c>
      <c r="AN62" s="34">
        <f ca="1"/>
        <v>0.31705686107590353</v>
      </c>
      <c r="AO62" s="34">
        <f ca="1"/>
        <v>0.16561406820839583</v>
      </c>
      <c r="AP62" s="34">
        <f ca="1"/>
        <v>-1.4458529680439725E-3</v>
      </c>
      <c r="AQ62" s="34">
        <f ca="1"/>
        <v>-0.18415692925680041</v>
      </c>
    </row>
    <row r="75" spans="3:3" x14ac:dyDescent="0.25">
      <c r="C75" s="13"/>
    </row>
    <row r="80" spans="3:3" x14ac:dyDescent="0.25">
      <c r="C80" s="13"/>
    </row>
    <row r="87" spans="29:55" ht="15.75" thickBot="1" x14ac:dyDescent="0.3"/>
    <row r="88" spans="29:55" x14ac:dyDescent="0.25">
      <c r="AW88" s="49"/>
      <c r="AX88" s="50"/>
      <c r="AY88" s="50"/>
      <c r="AZ88" s="50"/>
      <c r="BA88" s="50"/>
      <c r="BB88" s="50"/>
      <c r="BC88" s="51"/>
    </row>
    <row r="89" spans="29:55" ht="13.5" customHeight="1" x14ac:dyDescent="0.25">
      <c r="AC89" s="1" t="s">
        <v>93</v>
      </c>
      <c r="AW89" s="52"/>
      <c r="AX89" s="95"/>
      <c r="AY89" s="95"/>
      <c r="AZ89" s="95"/>
      <c r="BA89" s="95"/>
      <c r="BC89" s="46"/>
    </row>
    <row r="90" spans="29:55" ht="15.75" customHeight="1" x14ac:dyDescent="0.35">
      <c r="AW90" s="52"/>
      <c r="AX90" s="95"/>
      <c r="AY90" s="96" t="s">
        <v>81</v>
      </c>
      <c r="AZ90" s="97" t="s">
        <v>16</v>
      </c>
      <c r="BA90" s="98" t="s">
        <v>82</v>
      </c>
      <c r="BB90" s="98"/>
      <c r="BC90" s="46"/>
    </row>
    <row r="91" spans="29:55" ht="12.75" customHeight="1" x14ac:dyDescent="0.25">
      <c r="AW91" s="52" t="s">
        <v>69</v>
      </c>
      <c r="AX91" s="95"/>
      <c r="AY91" s="99" t="s">
        <v>75</v>
      </c>
      <c r="AZ91" s="99">
        <v>0.125</v>
      </c>
      <c r="BA91" s="100">
        <f ca="1">U30</f>
        <v>3.2312389634780274E-2</v>
      </c>
      <c r="BB91" s="100"/>
      <c r="BC91" s="46"/>
    </row>
    <row r="92" spans="29:55" ht="12.75" customHeight="1" x14ac:dyDescent="0.25">
      <c r="AW92" s="53" t="s">
        <v>74</v>
      </c>
      <c r="AX92" s="101"/>
      <c r="AY92" s="99" t="s">
        <v>76</v>
      </c>
      <c r="AZ92" s="99">
        <v>1</v>
      </c>
      <c r="BA92" s="100">
        <f ca="1">U33</f>
        <v>0.24901737907815893</v>
      </c>
      <c r="BB92" s="100"/>
      <c r="BC92" s="46"/>
    </row>
    <row r="93" spans="29:55" ht="12.75" customHeight="1" x14ac:dyDescent="0.25">
      <c r="AW93" s="52" t="s">
        <v>70</v>
      </c>
      <c r="AX93" s="95"/>
      <c r="AY93" s="99" t="s">
        <v>77</v>
      </c>
      <c r="AZ93" s="99">
        <v>0.25</v>
      </c>
      <c r="BA93" s="100">
        <f ca="1">T30</f>
        <v>2.6365077686585942E-2</v>
      </c>
      <c r="BB93" s="100"/>
      <c r="BC93" s="46"/>
    </row>
    <row r="94" spans="29:55" ht="12.75" customHeight="1" x14ac:dyDescent="0.25">
      <c r="AW94" s="53" t="s">
        <v>71</v>
      </c>
      <c r="AX94" s="101"/>
      <c r="AY94" s="98" t="s">
        <v>78</v>
      </c>
      <c r="AZ94" s="99">
        <v>0.5</v>
      </c>
      <c r="BA94" s="100">
        <f ca="1">S30</f>
        <v>2.1603779483124048E-2</v>
      </c>
      <c r="BB94" s="100"/>
      <c r="BC94" s="46"/>
    </row>
    <row r="95" spans="29:55" ht="12.75" customHeight="1" x14ac:dyDescent="0.25">
      <c r="AW95" s="52" t="s">
        <v>72</v>
      </c>
      <c r="AX95" s="95"/>
      <c r="AY95" s="98" t="s">
        <v>79</v>
      </c>
      <c r="AZ95" s="99">
        <v>1</v>
      </c>
      <c r="BA95" s="100">
        <f ca="1">R30</f>
        <v>1.7798770399242731E-2</v>
      </c>
      <c r="BB95" s="100"/>
      <c r="BC95" s="46"/>
    </row>
    <row r="96" spans="29:55" ht="12.75" customHeight="1" x14ac:dyDescent="0.25">
      <c r="AW96" s="53" t="s">
        <v>73</v>
      </c>
      <c r="AX96" s="101"/>
      <c r="AY96" s="99" t="s">
        <v>80</v>
      </c>
      <c r="AZ96" s="99">
        <v>8</v>
      </c>
      <c r="BA96" s="100">
        <f ca="1">R33</f>
        <v>0.11773598268666641</v>
      </c>
      <c r="BB96" s="100"/>
      <c r="BC96" s="46"/>
    </row>
    <row r="97" spans="49:55" ht="15.75" thickBot="1" x14ac:dyDescent="0.3">
      <c r="AW97" s="54"/>
      <c r="AX97" s="48"/>
      <c r="AY97" s="48"/>
      <c r="AZ97" s="48"/>
      <c r="BA97" s="48"/>
      <c r="BB97" s="48"/>
      <c r="BC97" s="55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16D04-4946-4313-BBA2-4CA26F5F0DC1}">
  <dimension ref="A1:BC97"/>
  <sheetViews>
    <sheetView topLeftCell="AB43" zoomScaleNormal="100" workbookViewId="0">
      <selection activeCell="AB82" sqref="AB82"/>
    </sheetView>
  </sheetViews>
  <sheetFormatPr defaultRowHeight="15" x14ac:dyDescent="0.25"/>
  <cols>
    <col min="2" max="2" width="23.28515625" customWidth="1"/>
    <col min="7" max="7" width="11" customWidth="1"/>
    <col min="51" max="51" width="14" customWidth="1"/>
    <col min="52" max="52" width="7.5703125" customWidth="1"/>
    <col min="53" max="53" width="12.140625" customWidth="1"/>
    <col min="54" max="54" width="4.5703125" customWidth="1"/>
  </cols>
  <sheetData>
    <row r="1" spans="1:36" x14ac:dyDescent="0.25">
      <c r="A1" s="1" t="s">
        <v>23</v>
      </c>
    </row>
    <row r="2" spans="1:36" ht="17.25" x14ac:dyDescent="0.25">
      <c r="B2" t="s">
        <v>83</v>
      </c>
      <c r="C2">
        <v>32.17</v>
      </c>
      <c r="D2" t="s">
        <v>84</v>
      </c>
    </row>
    <row r="3" spans="1:36" x14ac:dyDescent="0.25">
      <c r="B3" s="1" t="s">
        <v>2</v>
      </c>
      <c r="C3" s="6">
        <v>98.578000000000003</v>
      </c>
      <c r="D3" t="s">
        <v>0</v>
      </c>
      <c r="F3" s="7" t="s">
        <v>27</v>
      </c>
      <c r="G3" s="6"/>
      <c r="H3" s="6"/>
      <c r="I3" s="6"/>
      <c r="J3" s="6"/>
      <c r="K3" s="6"/>
    </row>
    <row r="4" spans="1:36" x14ac:dyDescent="0.25">
      <c r="B4" t="s">
        <v>1</v>
      </c>
      <c r="C4" s="6">
        <f>C3^2/(2*gravity)</f>
        <v>151.03546913273237</v>
      </c>
      <c r="D4" t="s">
        <v>3</v>
      </c>
    </row>
    <row r="5" spans="1:36" x14ac:dyDescent="0.25">
      <c r="B5" s="1" t="s">
        <v>43</v>
      </c>
      <c r="C5" s="6">
        <v>3.0700000000000002E-2</v>
      </c>
    </row>
    <row r="6" spans="1:36" ht="15.75" thickBot="1" x14ac:dyDescent="0.3">
      <c r="B6" s="1" t="s">
        <v>4</v>
      </c>
      <c r="C6">
        <f>0.82*0.4*SQRT(8/C5)</f>
        <v>5.2948010884994776</v>
      </c>
    </row>
    <row r="7" spans="1:36" ht="15.75" thickBot="1" x14ac:dyDescent="0.3">
      <c r="B7" s="1" t="s">
        <v>6</v>
      </c>
      <c r="C7" s="11">
        <v>0.5</v>
      </c>
      <c r="D7" t="s">
        <v>9</v>
      </c>
      <c r="F7" t="s">
        <v>28</v>
      </c>
    </row>
    <row r="8" spans="1:36" ht="15.75" thickBot="1" x14ac:dyDescent="0.3">
      <c r="B8" s="4" t="s">
        <v>6</v>
      </c>
      <c r="C8">
        <f>C7/12</f>
        <v>4.1666666666666664E-2</v>
      </c>
      <c r="D8" t="s">
        <v>3</v>
      </c>
      <c r="K8" s="84" t="s">
        <v>92</v>
      </c>
      <c r="L8" s="84"/>
      <c r="M8" s="84"/>
      <c r="N8" s="84"/>
      <c r="O8" s="84"/>
      <c r="P8" s="84"/>
    </row>
    <row r="9" spans="1:36" ht="15.75" thickBot="1" x14ac:dyDescent="0.3">
      <c r="B9" s="3" t="s">
        <v>10</v>
      </c>
      <c r="C9" s="11">
        <v>0.5</v>
      </c>
      <c r="D9" t="s">
        <v>9</v>
      </c>
      <c r="F9" t="s">
        <v>28</v>
      </c>
    </row>
    <row r="10" spans="1:36" ht="18" x14ac:dyDescent="0.35">
      <c r="B10" s="4" t="s">
        <v>10</v>
      </c>
      <c r="C10">
        <f>C9/12</f>
        <v>4.1666666666666664E-2</v>
      </c>
      <c r="D10" t="s">
        <v>3</v>
      </c>
      <c r="K10" s="1" t="s">
        <v>52</v>
      </c>
      <c r="R10" s="1" t="s">
        <v>91</v>
      </c>
      <c r="X10" s="1" t="s">
        <v>39</v>
      </c>
      <c r="AF10" t="s">
        <v>40</v>
      </c>
    </row>
    <row r="11" spans="1:36" ht="15.75" thickBot="1" x14ac:dyDescent="0.3">
      <c r="B11" s="3" t="s">
        <v>7</v>
      </c>
      <c r="C11" s="6">
        <v>3.0880000000000001</v>
      </c>
      <c r="D11" t="s">
        <v>3</v>
      </c>
      <c r="K11" t="s">
        <v>31</v>
      </c>
      <c r="R11" s="1" t="s">
        <v>45</v>
      </c>
    </row>
    <row r="12" spans="1:36" ht="15.75" thickBot="1" x14ac:dyDescent="0.3">
      <c r="B12" t="s">
        <v>85</v>
      </c>
      <c r="C12" s="6">
        <v>7</v>
      </c>
      <c r="D12" t="s">
        <v>9</v>
      </c>
      <c r="E12">
        <f>C12*25.4</f>
        <v>177.79999999999998</v>
      </c>
      <c r="F12" t="s">
        <v>86</v>
      </c>
      <c r="J12" s="11">
        <f>C34</f>
        <v>13.494335442509851</v>
      </c>
      <c r="K12" s="19">
        <v>0.125</v>
      </c>
      <c r="L12" s="20">
        <v>0.25</v>
      </c>
      <c r="M12" s="20">
        <v>0.5</v>
      </c>
      <c r="N12" s="20">
        <v>1</v>
      </c>
      <c r="Q12" t="s">
        <v>44</v>
      </c>
      <c r="R12" s="18" cm="1">
        <f t="array" ref="R12:V12">TRANSPOSE(J13:J17)</f>
        <v>0</v>
      </c>
      <c r="S12" s="18">
        <v>0.125</v>
      </c>
      <c r="T12" s="18">
        <v>0.25</v>
      </c>
      <c r="U12" s="18">
        <v>0.5</v>
      </c>
      <c r="V12" s="18">
        <v>1</v>
      </c>
      <c r="AG12" cm="1">
        <f t="array" ref="AG12:AJ12">K12:N12*25.4</f>
        <v>3.1749999999999998</v>
      </c>
      <c r="AH12">
        <v>6.35</v>
      </c>
      <c r="AI12">
        <v>12.7</v>
      </c>
      <c r="AJ12">
        <v>25.4</v>
      </c>
    </row>
    <row r="13" spans="1:36" x14ac:dyDescent="0.25">
      <c r="B13" s="3" t="s">
        <v>21</v>
      </c>
      <c r="C13">
        <f>C11*C3</f>
        <v>304.40886399999999</v>
      </c>
      <c r="D13" t="s">
        <v>22</v>
      </c>
      <c r="I13" t="s">
        <v>32</v>
      </c>
      <c r="J13" s="21">
        <v>0</v>
      </c>
      <c r="K13" s="9">
        <f t="dataTable" ref="K13:N17" dt2D="1" dtr="1" r1="C7" r2="C9"/>
        <v>6.4396578910754538</v>
      </c>
      <c r="L13" s="9">
        <v>9.5343350566831742</v>
      </c>
      <c r="M13" s="10">
        <v>14.10748641715395</v>
      </c>
      <c r="N13" s="10">
        <v>20.835531046013351</v>
      </c>
      <c r="Q13" s="18" cm="1">
        <f t="array" ref="Q13:Q16">TRANSPOSE(K12:N12)</f>
        <v>0.125</v>
      </c>
      <c r="R13" s="9" cm="1">
        <f t="array" ref="R13:V16">0.3048*TRANSPOSE(K13:N17)</f>
        <v>1.9628077251997984</v>
      </c>
      <c r="S13" s="9">
        <v>1.9323883360110095</v>
      </c>
      <c r="T13" s="9">
        <v>1.8269003662155749</v>
      </c>
      <c r="U13" s="9">
        <v>1.5942363290992583</v>
      </c>
      <c r="V13" s="9">
        <v>1.2541016109116294</v>
      </c>
      <c r="W13" s="16" cm="1">
        <f t="array" ref="W13:W16">0.3048*TRANSPOSE(K18:N18)</f>
        <v>8.6563199999999991</v>
      </c>
      <c r="Y13" s="9" cm="1">
        <f t="array" ref="Y13:AC16">TRANSPOSE(K13:N17)</f>
        <v>6.4396578910754538</v>
      </c>
      <c r="Z13" s="9">
        <v>6.339856745442944</v>
      </c>
      <c r="AA13" s="9">
        <v>5.9937676056941429</v>
      </c>
      <c r="AB13" s="9">
        <v>5.2304341505881178</v>
      </c>
      <c r="AC13" s="9">
        <v>4.1145065974790986</v>
      </c>
      <c r="AD13" s="23" cm="1">
        <f t="array" ref="AD13:AD16">TRANSPOSE(K18:N18)</f>
        <v>28.4</v>
      </c>
      <c r="AF13" cm="1">
        <f t="array" ref="AF13:AF17">J13:J17*25.4</f>
        <v>0</v>
      </c>
      <c r="AG13" s="9" cm="1">
        <f t="array" ref="AG13:AJ18">K13:N18*0.3048</f>
        <v>1.9628077251997984</v>
      </c>
      <c r="AH13" s="9">
        <v>2.9060653252770314</v>
      </c>
      <c r="AI13" s="9">
        <v>4.2999618599485245</v>
      </c>
      <c r="AJ13" s="9">
        <v>6.3506698628248701</v>
      </c>
    </row>
    <row r="14" spans="1:36" x14ac:dyDescent="0.25">
      <c r="B14" s="3" t="s">
        <v>26</v>
      </c>
      <c r="C14">
        <f>C3/SQRT(gravity*C11*COS(C21))</f>
        <v>10.035634906570445</v>
      </c>
      <c r="J14" s="22">
        <v>0.125</v>
      </c>
      <c r="K14" s="82">
        <v>6.339856745442944</v>
      </c>
      <c r="L14" s="82">
        <v>9.4931143580897945</v>
      </c>
      <c r="M14" s="83">
        <v>14.073563749178277</v>
      </c>
      <c r="N14" s="83">
        <v>20.790107187508777</v>
      </c>
      <c r="Q14" s="18">
        <v>0.25</v>
      </c>
      <c r="R14" s="9">
        <v>2.9060653252770314</v>
      </c>
      <c r="S14" s="9">
        <v>2.8935012563457696</v>
      </c>
      <c r="T14" s="9">
        <v>2.8301370725973927</v>
      </c>
      <c r="U14" s="9">
        <v>2.6211916932772734</v>
      </c>
      <c r="V14" s="9">
        <v>2.2047890131549166</v>
      </c>
      <c r="W14" s="17">
        <v>11.82624</v>
      </c>
      <c r="Y14" s="9">
        <v>9.5343350566831742</v>
      </c>
      <c r="Z14" s="9">
        <v>9.4931143580897945</v>
      </c>
      <c r="AA14" s="9">
        <v>9.285226616133178</v>
      </c>
      <c r="AB14" s="9">
        <v>8.59971027978108</v>
      </c>
      <c r="AC14" s="9">
        <v>7.2335597544452641</v>
      </c>
      <c r="AD14" s="23">
        <v>38.799999999999997</v>
      </c>
      <c r="AF14">
        <v>3.1749999999999998</v>
      </c>
      <c r="AG14" s="9">
        <v>1.9323883360110095</v>
      </c>
      <c r="AH14" s="9">
        <v>2.8935012563457696</v>
      </c>
      <c r="AI14" s="9">
        <v>4.2896222307495391</v>
      </c>
      <c r="AJ14" s="9">
        <v>6.3368246707526756</v>
      </c>
    </row>
    <row r="15" spans="1:36" x14ac:dyDescent="0.25">
      <c r="B15" s="5" t="s">
        <v>16</v>
      </c>
      <c r="C15">
        <f>C9/C7</f>
        <v>1</v>
      </c>
      <c r="J15" s="22">
        <v>0.25</v>
      </c>
      <c r="K15" s="82">
        <v>5.9937676056941429</v>
      </c>
      <c r="L15" s="82">
        <v>9.285226616133178</v>
      </c>
      <c r="M15" s="83">
        <v>13.981079095047869</v>
      </c>
      <c r="N15" s="83">
        <v>20.721170654863297</v>
      </c>
      <c r="Q15" s="18">
        <v>0.5</v>
      </c>
      <c r="R15" s="9">
        <v>4.2999618599485245</v>
      </c>
      <c r="S15" s="9">
        <v>4.2896222307495391</v>
      </c>
      <c r="T15" s="9">
        <v>4.2614329081705904</v>
      </c>
      <c r="U15" s="9">
        <v>4.1130734428770026</v>
      </c>
      <c r="V15" s="9">
        <v>3.7122710733571926</v>
      </c>
      <c r="W15" s="17">
        <v>14.996160000000001</v>
      </c>
      <c r="Y15" s="10">
        <v>14.10748641715395</v>
      </c>
      <c r="Z15" s="10">
        <v>14.073563749178277</v>
      </c>
      <c r="AA15" s="10">
        <v>13.981079095047869</v>
      </c>
      <c r="AB15" s="10">
        <v>13.494335442509851</v>
      </c>
      <c r="AC15" s="10">
        <v>12.179367038573465</v>
      </c>
      <c r="AD15" s="23">
        <v>49.2</v>
      </c>
      <c r="AF15">
        <v>6.35</v>
      </c>
      <c r="AG15" s="9">
        <v>1.8269003662155749</v>
      </c>
      <c r="AH15" s="9">
        <v>2.8301370725973927</v>
      </c>
      <c r="AI15" s="9">
        <v>4.2614329081705904</v>
      </c>
      <c r="AJ15" s="9">
        <v>6.3158128156023334</v>
      </c>
    </row>
    <row r="16" spans="1:36" x14ac:dyDescent="0.25">
      <c r="B16" t="s">
        <v>8</v>
      </c>
      <c r="C16">
        <f>C11/C8</f>
        <v>74.112000000000009</v>
      </c>
      <c r="J16" s="22">
        <v>0.5</v>
      </c>
      <c r="K16" s="82">
        <v>5.2304341505881178</v>
      </c>
      <c r="L16" s="82">
        <v>8.59971027978108</v>
      </c>
      <c r="M16" s="83">
        <v>13.494335442509851</v>
      </c>
      <c r="N16" s="83">
        <v>20.458309855790041</v>
      </c>
      <c r="Q16" s="18">
        <v>1</v>
      </c>
      <c r="R16" s="9">
        <v>6.3506698628248701</v>
      </c>
      <c r="S16" s="9">
        <v>6.3368246707526756</v>
      </c>
      <c r="T16" s="9">
        <v>6.3158128156023334</v>
      </c>
      <c r="U16" s="9">
        <v>6.2356928440448049</v>
      </c>
      <c r="V16" s="9">
        <v>5.9019110727331308</v>
      </c>
      <c r="W16" s="17">
        <v>18.166080000000001</v>
      </c>
      <c r="Y16" s="10">
        <v>20.835531046013351</v>
      </c>
      <c r="Z16" s="10">
        <v>20.790107187508777</v>
      </c>
      <c r="AA16" s="10">
        <v>20.721170654863297</v>
      </c>
      <c r="AB16" s="10">
        <v>20.458309855790041</v>
      </c>
      <c r="AC16" s="10">
        <v>19.363225304242555</v>
      </c>
      <c r="AD16" s="23">
        <v>59.6</v>
      </c>
      <c r="AF16">
        <v>12.7</v>
      </c>
      <c r="AG16" s="9">
        <v>1.5942363290992583</v>
      </c>
      <c r="AH16" s="9">
        <v>2.6211916932772734</v>
      </c>
      <c r="AI16" s="9">
        <v>4.1130734428770026</v>
      </c>
      <c r="AJ16" s="9">
        <v>6.2356928440448049</v>
      </c>
    </row>
    <row r="17" spans="2:53" ht="15.75" thickBot="1" x14ac:dyDescent="0.3">
      <c r="B17" s="3" t="s">
        <v>11</v>
      </c>
      <c r="C17">
        <f>C11/C10</f>
        <v>74.112000000000009</v>
      </c>
      <c r="J17" s="22">
        <v>1</v>
      </c>
      <c r="K17" s="82">
        <v>4.1145065974790986</v>
      </c>
      <c r="L17" s="82">
        <v>7.2335597544452641</v>
      </c>
      <c r="M17" s="83">
        <v>12.179367038573465</v>
      </c>
      <c r="N17" s="83">
        <v>19.363225304242555</v>
      </c>
      <c r="AF17">
        <v>25.4</v>
      </c>
      <c r="AG17" s="9">
        <v>1.2541016109116294</v>
      </c>
      <c r="AH17" s="9">
        <v>2.2047890131549166</v>
      </c>
      <c r="AI17" s="9">
        <v>3.7122710733571926</v>
      </c>
      <c r="AJ17" s="9">
        <v>5.9019110727331308</v>
      </c>
    </row>
    <row r="18" spans="2:53" ht="15.75" thickBot="1" x14ac:dyDescent="0.3">
      <c r="B18" s="2" t="s">
        <v>5</v>
      </c>
      <c r="C18">
        <f>(1/C16)^(3/C6)*(1+1/C6)^3/(1+3/C6)</f>
        <v>9.3534973575069444E-2</v>
      </c>
      <c r="I18" t="s">
        <v>37</v>
      </c>
      <c r="K18" s="14">
        <v>28.4</v>
      </c>
      <c r="L18" s="15">
        <v>38.799999999999997</v>
      </c>
      <c r="M18" s="15">
        <v>49.2</v>
      </c>
      <c r="N18" s="15">
        <v>59.6</v>
      </c>
      <c r="AG18" s="9">
        <v>8.6563199999999991</v>
      </c>
      <c r="AH18" s="9">
        <v>11.82624</v>
      </c>
      <c r="AI18" s="9">
        <v>14.996160000000001</v>
      </c>
      <c r="AJ18" s="9">
        <v>18.166080000000001</v>
      </c>
    </row>
    <row r="19" spans="2:53" x14ac:dyDescent="0.25">
      <c r="B19" s="3" t="s">
        <v>25</v>
      </c>
      <c r="C19">
        <f>C18*C4</f>
        <v>14.127098614228339</v>
      </c>
      <c r="D19" t="s">
        <v>3</v>
      </c>
    </row>
    <row r="20" spans="2:53" x14ac:dyDescent="0.25">
      <c r="B20" s="3" t="s">
        <v>13</v>
      </c>
      <c r="C20" s="6">
        <f>DEGREES(ATAN(0.245))</f>
        <v>13.766300685466257</v>
      </c>
      <c r="D20" t="s">
        <v>14</v>
      </c>
      <c r="J20" s="1" t="s">
        <v>29</v>
      </c>
    </row>
    <row r="21" spans="2:53" ht="15.75" thickBot="1" x14ac:dyDescent="0.3">
      <c r="B21" s="4" t="s">
        <v>13</v>
      </c>
      <c r="C21">
        <f>RADIANS(C20)</f>
        <v>0.24026727278093848</v>
      </c>
      <c r="D21" t="s">
        <v>15</v>
      </c>
      <c r="E21">
        <f>COS(C21)</f>
        <v>0.9712744087171471</v>
      </c>
      <c r="F21">
        <f>SIN(C21)</f>
        <v>0.23796223013570103</v>
      </c>
      <c r="I21" s="1" t="s">
        <v>47</v>
      </c>
      <c r="J21" t="s">
        <v>30</v>
      </c>
    </row>
    <row r="22" spans="2:53" ht="15.75" thickBot="1" x14ac:dyDescent="0.3">
      <c r="I22" s="26">
        <v>1.03</v>
      </c>
      <c r="K22" s="8">
        <f ca="1">IFERROR($I$23+($I$24*K35^$I$25+$I$22)^-1,0.7)</f>
        <v>0.7</v>
      </c>
      <c r="L22" s="8">
        <f t="shared" ref="L22:N22" ca="1" si="0">IFERROR($I$23+($I$24*L35^$I$25+$I$22)^-1,0.7)</f>
        <v>0.7</v>
      </c>
      <c r="M22" s="8">
        <f t="shared" ca="1" si="0"/>
        <v>0.7</v>
      </c>
      <c r="N22" s="8">
        <f t="shared" ca="1" si="0"/>
        <v>0.7</v>
      </c>
      <c r="P22" s="8"/>
    </row>
    <row r="23" spans="2:53" ht="15.75" thickBot="1" x14ac:dyDescent="0.3">
      <c r="B23" s="1" t="s">
        <v>38</v>
      </c>
      <c r="I23" s="26">
        <v>0.05</v>
      </c>
      <c r="K23" s="39">
        <f t="shared" ref="K23:N23" ca="1" si="1">IFERROR($I$23+($I$24*K36^$I$25+$I$22)^-1,0.7)</f>
        <v>0.72853020448055639</v>
      </c>
      <c r="L23" s="39">
        <f t="shared" ca="1" si="1"/>
        <v>0.77015081456964096</v>
      </c>
      <c r="M23" s="39">
        <f t="shared" ca="1" si="1"/>
        <v>0.80870008543004801</v>
      </c>
      <c r="N23" s="39">
        <f t="shared" ca="1" si="1"/>
        <v>0.84346498509593215</v>
      </c>
    </row>
    <row r="24" spans="2:53" ht="18" x14ac:dyDescent="0.35">
      <c r="B24" s="1" t="s">
        <v>12</v>
      </c>
      <c r="C24">
        <f>C3/SQRT(gravity*C8*COS(C21))</f>
        <v>86.395101682813561</v>
      </c>
      <c r="I24" s="26">
        <v>7.0000000000000007E-2</v>
      </c>
      <c r="K24" s="39">
        <f t="shared" ref="K24:N24" ca="1" si="2">IFERROR($I$23+($I$24*K37^$I$25+$I$22)^-1,0.7)</f>
        <v>0.72269340377318092</v>
      </c>
      <c r="L24" s="39">
        <f t="shared" ca="1" si="2"/>
        <v>0.76790565306456204</v>
      </c>
      <c r="M24" s="39">
        <f t="shared" ca="1" si="2"/>
        <v>0.80808018673946946</v>
      </c>
      <c r="N24" s="39">
        <f t="shared" ca="1" si="2"/>
        <v>0.84318603138481019</v>
      </c>
    </row>
    <row r="25" spans="2:53" ht="19.5" thickBot="1" x14ac:dyDescent="0.4">
      <c r="B25" s="1" t="s">
        <v>17</v>
      </c>
      <c r="C25">
        <f>C24^1.17*C15^1.68/C6^2.42</f>
        <v>3.2656987410535447</v>
      </c>
      <c r="I25" s="27">
        <v>-1.1000000000000001</v>
      </c>
      <c r="K25" s="39">
        <f t="shared" ref="K25:N25" ca="1" si="3">IFERROR($I$23+($I$24*K38^$I$25+$I$22)^-1,0.7)</f>
        <v>0.70857530152783843</v>
      </c>
      <c r="L25" s="39">
        <f t="shared" ca="1" si="3"/>
        <v>0.76008246002624502</v>
      </c>
      <c r="M25" s="39">
        <f t="shared" ca="1" si="3"/>
        <v>0.80473175113836515</v>
      </c>
      <c r="N25" s="39">
        <f t="shared" ca="1" si="3"/>
        <v>0.84211093489526578</v>
      </c>
      <c r="AS25" s="1" t="s">
        <v>66</v>
      </c>
    </row>
    <row r="26" spans="2:53" x14ac:dyDescent="0.25">
      <c r="B26" t="s">
        <v>18</v>
      </c>
      <c r="C26">
        <f>1/(1.741+1.894*C25^0.5)</f>
        <v>0.19365982186755115</v>
      </c>
      <c r="K26" s="39">
        <f t="shared" ref="K26:N26" ca="1" si="4">IFERROR($I$23+($I$24*K39^$I$25+$I$22)^-1,0.7)</f>
        <v>0.68411433046661985</v>
      </c>
      <c r="L26" s="39">
        <f t="shared" ca="1" si="4"/>
        <v>0.74223490361434219</v>
      </c>
      <c r="M26" s="39">
        <f t="shared" ca="1" si="4"/>
        <v>0.7948903836706861</v>
      </c>
      <c r="N26" s="39">
        <f t="shared" ca="1" si="4"/>
        <v>0.83742702198315222</v>
      </c>
      <c r="AD26" s="1" t="s">
        <v>67</v>
      </c>
    </row>
    <row r="27" spans="2:53" x14ac:dyDescent="0.25">
      <c r="B27" t="s">
        <v>19</v>
      </c>
      <c r="C27">
        <f>C26*C4</f>
        <v>29.249502047926971</v>
      </c>
      <c r="D27" t="s">
        <v>3</v>
      </c>
      <c r="R27" s="1" t="s">
        <v>42</v>
      </c>
      <c r="AD27" t="s">
        <v>53</v>
      </c>
      <c r="AE27" s="42">
        <v>0.5</v>
      </c>
    </row>
    <row r="28" spans="2:53" ht="18" x14ac:dyDescent="0.35">
      <c r="F28" t="s">
        <v>87</v>
      </c>
      <c r="J28" s="1" t="s">
        <v>46</v>
      </c>
      <c r="O28" t="s">
        <v>41</v>
      </c>
      <c r="R28" t="s">
        <v>31</v>
      </c>
      <c r="AD28" s="28" t="s">
        <v>64</v>
      </c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</row>
    <row r="29" spans="2:53" ht="18" x14ac:dyDescent="0.35">
      <c r="B29" t="s">
        <v>35</v>
      </c>
      <c r="F29" s="78" t="s">
        <v>88</v>
      </c>
      <c r="G29" s="78" t="s">
        <v>90</v>
      </c>
      <c r="H29" s="78" t="s">
        <v>89</v>
      </c>
      <c r="K29" s="9">
        <f t="shared" ref="K29:N29" ca="1" si="5">K22*($J13/12)*SQRT(2*gravity*(K13+$C$11*COS($C$21)+$C$12*SIN($C$21)/12))</f>
        <v>0</v>
      </c>
      <c r="L29" s="9">
        <f t="shared" ca="1" si="5"/>
        <v>0</v>
      </c>
      <c r="M29" s="9">
        <f t="shared" ca="1" si="5"/>
        <v>0</v>
      </c>
      <c r="N29" s="9">
        <f t="shared" ca="1" si="5"/>
        <v>0</v>
      </c>
      <c r="Q29" t="s">
        <v>32</v>
      </c>
      <c r="R29" s="18" cm="1">
        <f t="array" ref="R29:U29">K12:N12</f>
        <v>0.125</v>
      </c>
      <c r="S29" s="18">
        <v>0.25</v>
      </c>
      <c r="T29" s="18">
        <v>0.5</v>
      </c>
      <c r="U29" s="18">
        <v>1</v>
      </c>
      <c r="V29" t="s">
        <v>41</v>
      </c>
      <c r="X29" s="1" t="s">
        <v>48</v>
      </c>
      <c r="AD29" s="1" t="s">
        <v>49</v>
      </c>
      <c r="AI29" s="1" t="s">
        <v>50</v>
      </c>
      <c r="AN29" s="1" t="s">
        <v>51</v>
      </c>
      <c r="AS29" s="1" t="s">
        <v>65</v>
      </c>
    </row>
    <row r="30" spans="2:53" x14ac:dyDescent="0.25">
      <c r="B30" t="s">
        <v>16</v>
      </c>
      <c r="C30" s="13">
        <f>IF(C15=0,$F$30,$F$30+$F$31*C15^($F$32*C15^$F$33))</f>
        <v>1.349</v>
      </c>
      <c r="F30" s="79">
        <v>1.29</v>
      </c>
      <c r="G30" s="80">
        <f>-0.80498*0-0.8</f>
        <v>-0.8</v>
      </c>
      <c r="H30" s="80">
        <v>-0.93500000000000005</v>
      </c>
      <c r="K30" s="60">
        <f t="shared" ref="K30:N33" ca="1" si="6">K23*($J14/12)*SQRT(2*gravity*(K14+$C$11*COS($C$21)+$C$12*COS($C$21)/12))</f>
        <v>0.19158437010503349</v>
      </c>
      <c r="L30" s="61">
        <f t="shared" ca="1" si="6"/>
        <v>0.23254114701869871</v>
      </c>
      <c r="M30" s="61">
        <f t="shared" ca="1" si="6"/>
        <v>0.28379133434800347</v>
      </c>
      <c r="N30" s="62">
        <f t="shared" ca="1" si="6"/>
        <v>0.34780766737859464</v>
      </c>
      <c r="O30" s="24">
        <v>0.04</v>
      </c>
      <c r="Q30" s="18" cm="1">
        <f t="array" ref="Q30:Q33">J14:J17</f>
        <v>0.125</v>
      </c>
      <c r="R30" s="69" cm="1">
        <f t="array" aca="1" ref="R30:V33" ca="1">K30:O33*0.3048^2</f>
        <v>1.7798770399242731E-2</v>
      </c>
      <c r="S30" s="70">
        <f ca="1"/>
        <v>2.1603779483124048E-2</v>
      </c>
      <c r="T30" s="70">
        <f ca="1"/>
        <v>2.6365077686585942E-2</v>
      </c>
      <c r="U30" s="71">
        <f ca="1"/>
        <v>3.2312389634780274E-2</v>
      </c>
      <c r="V30" s="25">
        <f ca="1"/>
        <v>3.7161216000000004E-3</v>
      </c>
      <c r="X30" s="9">
        <f ca="1">R30/$V30</f>
        <v>4.7896092526258371</v>
      </c>
      <c r="Y30" s="9">
        <f t="shared" ref="Y30:Y33" ca="1" si="7">S30/$V30</f>
        <v>5.8135286754674675</v>
      </c>
      <c r="Z30" s="9">
        <f t="shared" ref="Z30:Z33" ca="1" si="8">T30/$V30</f>
        <v>7.0947833587000861</v>
      </c>
      <c r="AA30" s="9">
        <f t="shared" ref="AA30:AA33" ca="1" si="9">U30/$V30</f>
        <v>8.6951916844648647</v>
      </c>
      <c r="AD30" s="36" cm="1">
        <f t="array" aca="1" ref="AD30:AG33" ca="1">K30:N33*$AE$27</f>
        <v>9.5792185052516743E-2</v>
      </c>
      <c r="AE30" s="36">
        <f ca="1"/>
        <v>0.11627057350934936</v>
      </c>
      <c r="AF30" s="36">
        <f ca="1"/>
        <v>0.14189566717400173</v>
      </c>
      <c r="AG30" s="36">
        <f ca="1"/>
        <v>0.17390383368929732</v>
      </c>
      <c r="AI30" s="38" cm="1">
        <f t="array" aca="1" ref="AI30:AL33" ca="1">K36:N39*$AE$27</f>
        <v>9.3287039349972678E-2</v>
      </c>
      <c r="AJ30" s="38">
        <f ca="1"/>
        <v>0.11322987945482298</v>
      </c>
      <c r="AK30" s="38">
        <f ca="1"/>
        <v>0.13818482875189358</v>
      </c>
      <c r="AL30" s="38">
        <f ca="1"/>
        <v>0.16935592154611112</v>
      </c>
      <c r="AN30" s="40">
        <f ca="1">$I$23+($I$24*AI30^$I$25+$I$22)^-1</f>
        <v>0.55473190074272838</v>
      </c>
      <c r="AO30" s="40">
        <f t="shared" ref="AO30:AO33" ca="1" si="10">$I$23+($I$24*AJ30^$I$25+$I$22)^-1</f>
        <v>0.6059658282660555</v>
      </c>
      <c r="AP30" s="40">
        <f t="shared" ref="AP30:AP33" ca="1" si="11">$I$23+($I$24*AK30^$I$25+$I$22)^-1</f>
        <v>0.65700401502955308</v>
      </c>
      <c r="AQ30" s="40">
        <f t="shared" ref="AQ30:AQ33" ca="1" si="12">$I$23+($I$24*AL30^$I$25+$I$22)^-1</f>
        <v>0.70631945571452148</v>
      </c>
      <c r="AS30" s="41" cm="1">
        <f t="array" aca="1" ref="AS30:AV33" ca="1">(K14:N17-(AD30:AG33/AN30:AQ33/($Q30:$Q33/12))^2/2/32.17)/(K14:N17)</f>
        <v>0.32628558220945919</v>
      </c>
      <c r="AT30" s="41">
        <f ca="1"/>
        <v>0.44448465735692255</v>
      </c>
      <c r="AU30" s="41">
        <f ca="1"/>
        <v>0.52525593257481396</v>
      </c>
      <c r="AV30" s="41">
        <f ca="1"/>
        <v>0.58234214380730021</v>
      </c>
      <c r="AX30" s="33">
        <f ca="1">(K14-(AD30/AN30/($Q30/12))^2/2/32.17)/K14</f>
        <v>0.32628558220945919</v>
      </c>
      <c r="AY30" s="33">
        <f t="shared" ref="AY30:BA30" ca="1" si="13">(L14-(AE30/AO30/($Q30/12))^2/2/32.17)/L14</f>
        <v>0.44448465735692255</v>
      </c>
      <c r="AZ30" s="33">
        <f t="shared" ca="1" si="13"/>
        <v>0.52525593257481396</v>
      </c>
      <c r="BA30" s="35">
        <f t="shared" ca="1" si="13"/>
        <v>0.58234214380730021</v>
      </c>
    </row>
    <row r="31" spans="2:53" x14ac:dyDescent="0.25">
      <c r="B31" s="1" t="s">
        <v>36</v>
      </c>
      <c r="C31">
        <f>IF(C15&gt;=0.6,EXP($G$30+$G$31/C15+$G$32*EXP(-C15)),$H$30*C15 +$H$31)</f>
        <v>0.78021883711619155</v>
      </c>
      <c r="F31" s="79">
        <v>5.8999999999999997E-2</v>
      </c>
      <c r="G31" s="80">
        <v>0</v>
      </c>
      <c r="H31" s="80">
        <v>1.587</v>
      </c>
      <c r="K31" s="63">
        <f t="shared" ca="1" si="6"/>
        <v>0.37339985434635758</v>
      </c>
      <c r="L31" s="64">
        <f t="shared" ca="1" si="6"/>
        <v>0.46002060591993021</v>
      </c>
      <c r="M31" s="64">
        <f t="shared" ca="1" si="6"/>
        <v>0.56565884653193321</v>
      </c>
      <c r="N31" s="65">
        <f t="shared" ca="1" si="6"/>
        <v>0.69440048083727501</v>
      </c>
      <c r="O31" s="24">
        <v>0.11</v>
      </c>
      <c r="Q31" s="18">
        <v>0.25</v>
      </c>
      <c r="R31" s="72">
        <f ca="1"/>
        <v>3.4689981604333835E-2</v>
      </c>
      <c r="S31" s="73">
        <f ca="1"/>
        <v>4.2737312752603514E-2</v>
      </c>
      <c r="T31" s="73">
        <f ca="1"/>
        <v>5.2551426445710057E-2</v>
      </c>
      <c r="U31" s="74">
        <f ca="1"/>
        <v>6.4511915647244594E-2</v>
      </c>
      <c r="V31" s="25">
        <f ca="1"/>
        <v>1.02193344E-2</v>
      </c>
      <c r="X31" s="9">
        <f t="shared" ref="X31:X33" ca="1" si="14">R31/$V31</f>
        <v>3.3945441304214325</v>
      </c>
      <c r="Y31" s="9">
        <f t="shared" ca="1" si="7"/>
        <v>4.1820055083630017</v>
      </c>
      <c r="Z31" s="9">
        <f t="shared" ca="1" si="8"/>
        <v>5.1423531502903019</v>
      </c>
      <c r="AA31" s="9">
        <f t="shared" ca="1" si="9"/>
        <v>6.3127316439752272</v>
      </c>
      <c r="AD31" s="36">
        <f ca="1"/>
        <v>0.18669992717317879</v>
      </c>
      <c r="AE31" s="36">
        <f ca="1"/>
        <v>0.23001030295996511</v>
      </c>
      <c r="AF31" s="36">
        <f ca="1"/>
        <v>0.28282942326596661</v>
      </c>
      <c r="AG31" s="36">
        <f ca="1"/>
        <v>0.34720024041863751</v>
      </c>
      <c r="AI31" s="38">
        <f ca="1"/>
        <v>9.0908686566095714E-2</v>
      </c>
      <c r="AJ31" s="38">
        <f ca="1"/>
        <v>0.11199755059017555</v>
      </c>
      <c r="AK31" s="38">
        <f ca="1"/>
        <v>0.13771645110233924</v>
      </c>
      <c r="AL31" s="38">
        <f ca="1"/>
        <v>0.16906015074453329</v>
      </c>
      <c r="AN31" s="40">
        <f t="shared" ref="AN31:AN33" ca="1" si="15">$I$23+($I$24*AI31^$I$25+$I$22)^-1</f>
        <v>0.54784417742855651</v>
      </c>
      <c r="AO31" s="40">
        <f t="shared" ca="1" si="10"/>
        <v>0.60310333725825238</v>
      </c>
      <c r="AP31" s="40">
        <f t="shared" ca="1" si="11"/>
        <v>0.65615396800516679</v>
      </c>
      <c r="AQ31" s="40">
        <f t="shared" ca="1" si="12"/>
        <v>0.7059104568068556</v>
      </c>
      <c r="AS31" s="41">
        <f ca="1"/>
        <v>0.30613382851399723</v>
      </c>
      <c r="AT31" s="41">
        <f ca="1"/>
        <v>0.43905532804853459</v>
      </c>
      <c r="AU31" s="41">
        <f ca="1"/>
        <v>0.52411898154021053</v>
      </c>
      <c r="AV31" s="41">
        <f ca="1"/>
        <v>0.58193102979059441</v>
      </c>
      <c r="AX31" s="33">
        <f t="shared" ref="AX31:BA31" ca="1" si="16">(K15-(AD31/AN31/($Q31/12))^2/2/32.17)/K15</f>
        <v>0.30613382851399723</v>
      </c>
      <c r="AY31" s="33">
        <f t="shared" ca="1" si="16"/>
        <v>0.43905532804853459</v>
      </c>
      <c r="AZ31" s="33">
        <f t="shared" ca="1" si="16"/>
        <v>0.52411898154021053</v>
      </c>
      <c r="BA31" s="35">
        <f t="shared" ca="1" si="16"/>
        <v>0.58193102979059441</v>
      </c>
    </row>
    <row r="32" spans="2:53" x14ac:dyDescent="0.25">
      <c r="B32" s="1" t="s">
        <v>20</v>
      </c>
      <c r="C32">
        <f>C16^C$31/(C$30+C16^C$31)</f>
        <v>0.95520926207160539</v>
      </c>
      <c r="F32" s="79">
        <v>3.2</v>
      </c>
      <c r="G32" s="80">
        <f>1.5421*0+1.5</f>
        <v>1.5</v>
      </c>
      <c r="H32" s="81"/>
      <c r="K32" s="63">
        <f t="shared" ca="1" si="6"/>
        <v>0.70236921449784051</v>
      </c>
      <c r="L32" s="64">
        <f t="shared" ca="1" si="6"/>
        <v>0.88604636748603849</v>
      </c>
      <c r="M32" s="64">
        <f t="shared" ca="1" si="6"/>
        <v>1.1108938917788505</v>
      </c>
      <c r="N32" s="65">
        <f t="shared" ca="1" si="6"/>
        <v>1.3795037890321116</v>
      </c>
      <c r="O32" s="24">
        <v>0.3</v>
      </c>
      <c r="Q32" s="18">
        <v>0.5</v>
      </c>
      <c r="R32" s="72">
        <f ca="1"/>
        <v>6.5252235229261463E-2</v>
      </c>
      <c r="S32" s="73">
        <f ca="1"/>
        <v>8.2316401120410138E-2</v>
      </c>
      <c r="T32" s="73">
        <f ca="1"/>
        <v>0.10320541966368622</v>
      </c>
      <c r="U32" s="74">
        <f ca="1"/>
        <v>0.12816009569260184</v>
      </c>
      <c r="V32" s="25">
        <f ca="1"/>
        <v>2.7870912000000001E-2</v>
      </c>
      <c r="X32" s="9">
        <f t="shared" ca="1" si="14"/>
        <v>2.3412307149928018</v>
      </c>
      <c r="Y32" s="9">
        <f t="shared" ca="1" si="7"/>
        <v>2.9534878916201284</v>
      </c>
      <c r="Z32" s="9">
        <f t="shared" ca="1" si="8"/>
        <v>3.7029796392628351</v>
      </c>
      <c r="AA32" s="9">
        <f t="shared" ca="1" si="9"/>
        <v>4.5983459634403721</v>
      </c>
      <c r="AD32" s="36">
        <f ca="1"/>
        <v>0.35118460724892026</v>
      </c>
      <c r="AE32" s="36">
        <f ca="1"/>
        <v>0.44302318374301924</v>
      </c>
      <c r="AF32" s="36">
        <f ca="1"/>
        <v>0.55544694588942523</v>
      </c>
      <c r="AG32" s="36">
        <f ca="1"/>
        <v>0.68975189451605579</v>
      </c>
      <c r="AI32" s="38">
        <f ca="1"/>
        <v>8.5500117409301121E-2</v>
      </c>
      <c r="AJ32" s="38">
        <f ca="1"/>
        <v>0.10785932368106943</v>
      </c>
      <c r="AK32" s="38">
        <f ca="1"/>
        <v>0.13523024104106601</v>
      </c>
      <c r="AL32" s="38">
        <f ca="1"/>
        <v>0.16792839648182495</v>
      </c>
      <c r="AN32" s="40">
        <f t="shared" ca="1" si="15"/>
        <v>0.53147036894936173</v>
      </c>
      <c r="AO32" s="40">
        <f t="shared" ca="1" si="10"/>
        <v>0.59321956866413539</v>
      </c>
      <c r="AP32" s="40">
        <f t="shared" ca="1" si="11"/>
        <v>0.65157947318040954</v>
      </c>
      <c r="AQ32" s="40">
        <f t="shared" ca="1" si="12"/>
        <v>0.70433623870900897</v>
      </c>
      <c r="AS32" s="41">
        <f ca="1"/>
        <v>0.25266293932016964</v>
      </c>
      <c r="AT32" s="41">
        <f ca="1"/>
        <v>0.41939659750545821</v>
      </c>
      <c r="AU32" s="41">
        <f ca="1"/>
        <v>0.51789647923527371</v>
      </c>
      <c r="AV32" s="41">
        <f ca="1"/>
        <v>0.58034015946201944</v>
      </c>
      <c r="AX32" s="33">
        <f t="shared" ref="AX32:BA32" ca="1" si="17">(K16-(AD32/AN32/($Q32/12))^2/2/32.17)/K16</f>
        <v>0.25266293932016964</v>
      </c>
      <c r="AY32" s="33">
        <f t="shared" ca="1" si="17"/>
        <v>0.41939659750545821</v>
      </c>
      <c r="AZ32" s="33">
        <f t="shared" ca="1" si="17"/>
        <v>0.51789647923527371</v>
      </c>
      <c r="BA32" s="35">
        <f t="shared" ca="1" si="17"/>
        <v>0.58034015946201944</v>
      </c>
    </row>
    <row r="33" spans="2:53" ht="15.75" thickBot="1" x14ac:dyDescent="0.3">
      <c r="B33" s="1" t="s">
        <v>24</v>
      </c>
      <c r="C33">
        <f>C32*C18</f>
        <v>8.9345473086529195E-2</v>
      </c>
      <c r="F33" s="79">
        <v>-0.17499999999999999</v>
      </c>
      <c r="G33" s="81"/>
      <c r="H33" s="81"/>
      <c r="K33" s="66">
        <f t="shared" ca="1" si="6"/>
        <v>1.267299570462564</v>
      </c>
      <c r="L33" s="67">
        <f t="shared" ca="1" si="6"/>
        <v>1.6304260659416592</v>
      </c>
      <c r="M33" s="67">
        <f t="shared" ca="1" si="6"/>
        <v>2.1083424643145778</v>
      </c>
      <c r="N33" s="68">
        <f t="shared" ca="1" si="6"/>
        <v>2.6804007606011484</v>
      </c>
      <c r="O33" s="24">
        <v>0.7</v>
      </c>
      <c r="Q33" s="18">
        <v>1</v>
      </c>
      <c r="R33" s="75">
        <f ca="1"/>
        <v>0.11773598268666641</v>
      </c>
      <c r="S33" s="76">
        <f ca="1"/>
        <v>0.1514715380212206</v>
      </c>
      <c r="T33" s="76">
        <f ca="1"/>
        <v>0.19587142429591581</v>
      </c>
      <c r="U33" s="77">
        <f ca="1"/>
        <v>0.24901737907815893</v>
      </c>
      <c r="V33" s="25">
        <f ca="1"/>
        <v>6.5032127999999995E-2</v>
      </c>
      <c r="X33" s="9">
        <f t="shared" ca="1" si="14"/>
        <v>1.8104279578036631</v>
      </c>
      <c r="Y33" s="9">
        <f t="shared" ca="1" si="7"/>
        <v>2.3291800942023704</v>
      </c>
      <c r="Z33" s="9">
        <f t="shared" ca="1" si="8"/>
        <v>3.0119178061636829</v>
      </c>
      <c r="AA33" s="9">
        <f t="shared" ca="1" si="9"/>
        <v>3.8291439437159269</v>
      </c>
      <c r="AD33" s="36">
        <f ca="1"/>
        <v>0.63364978523128201</v>
      </c>
      <c r="AE33" s="36">
        <f ca="1"/>
        <v>0.81521303297082959</v>
      </c>
      <c r="AF33" s="36">
        <f ca="1"/>
        <v>1.0541712321572889</v>
      </c>
      <c r="AG33" s="36">
        <f ca="1"/>
        <v>1.3402003803005742</v>
      </c>
      <c r="AI33" s="38">
        <f ca="1"/>
        <v>7.7134831532140888E-2</v>
      </c>
      <c r="AJ33" s="38">
        <f ca="1"/>
        <v>9.9236709972305728E-2</v>
      </c>
      <c r="AK33" s="38">
        <f ca="1"/>
        <v>0.1283253341099177</v>
      </c>
      <c r="AL33" s="38">
        <f ca="1"/>
        <v>0.16314395264264736</v>
      </c>
      <c r="AN33" s="40">
        <f t="shared" ca="1" si="15"/>
        <v>0.50402416926554727</v>
      </c>
      <c r="AO33" s="40">
        <f t="shared" ca="1" si="10"/>
        <v>0.57118440412008098</v>
      </c>
      <c r="AP33" s="40">
        <f t="shared" ca="1" si="11"/>
        <v>0.63829956742341865</v>
      </c>
      <c r="AQ33" s="40">
        <f t="shared" ca="1" si="12"/>
        <v>0.69751604062128725</v>
      </c>
      <c r="AS33" s="41">
        <f ca="1"/>
        <v>0.14027504806188831</v>
      </c>
      <c r="AT33" s="41">
        <f ca="1"/>
        <v>0.36974121336147969</v>
      </c>
      <c r="AU33" s="41">
        <f ca="1"/>
        <v>0.49877821663995481</v>
      </c>
      <c r="AV33" s="41">
        <f ca="1"/>
        <v>0.57328804394686428</v>
      </c>
      <c r="AX33" s="33">
        <f t="shared" ref="AX33:BA33" ca="1" si="18">(K17-(AD33/AN33/($Q33/12))^2/2/32.17)/K17</f>
        <v>0.14027504806188831</v>
      </c>
      <c r="AY33" s="33">
        <f t="shared" ca="1" si="18"/>
        <v>0.36974121336147969</v>
      </c>
      <c r="AZ33" s="33">
        <f t="shared" ca="1" si="18"/>
        <v>0.49877821663995481</v>
      </c>
      <c r="BA33" s="35">
        <f t="shared" ca="1" si="18"/>
        <v>0.57328804394686428</v>
      </c>
    </row>
    <row r="34" spans="2:53" ht="15.75" thickBot="1" x14ac:dyDescent="0.3">
      <c r="B34" t="s">
        <v>19</v>
      </c>
      <c r="C34" s="12">
        <f>C32*C18*C4</f>
        <v>13.494335442509851</v>
      </c>
      <c r="D34" t="s">
        <v>3</v>
      </c>
    </row>
    <row r="35" spans="2:53" ht="18" x14ac:dyDescent="0.35">
      <c r="J35" s="1" t="s">
        <v>33</v>
      </c>
      <c r="K35" s="8" t="e">
        <f t="shared" ref="K35:M36" ca="1" si="19">K29/($J13/12)/$C$3</f>
        <v>#DIV/0!</v>
      </c>
      <c r="L35" s="8" t="e">
        <f t="shared" ca="1" si="19"/>
        <v>#DIV/0!</v>
      </c>
      <c r="M35" s="8" t="e">
        <f t="shared" ca="1" si="19"/>
        <v>#DIV/0!</v>
      </c>
      <c r="N35" s="8" t="e">
        <f ca="1">N29/($J13/12)/$C$3</f>
        <v>#DIV/0!</v>
      </c>
      <c r="P35" s="8"/>
      <c r="AD35" s="1" t="s">
        <v>68</v>
      </c>
      <c r="AE35" s="1"/>
      <c r="AO35" s="30"/>
    </row>
    <row r="36" spans="2:53" x14ac:dyDescent="0.25">
      <c r="K36" s="37">
        <f t="shared" ca="1" si="19"/>
        <v>0.18657407869994536</v>
      </c>
      <c r="L36" s="37">
        <f t="shared" ca="1" si="19"/>
        <v>0.22645975890964595</v>
      </c>
      <c r="M36" s="37">
        <f t="shared" ca="1" si="19"/>
        <v>0.27636965750378717</v>
      </c>
      <c r="N36" s="37">
        <f ca="1">N30/($J14/12)/$C$3</f>
        <v>0.33871184309222224</v>
      </c>
      <c r="AD36" t="s">
        <v>54</v>
      </c>
      <c r="AN36" s="30"/>
    </row>
    <row r="37" spans="2:53" x14ac:dyDescent="0.25">
      <c r="K37" s="37">
        <f t="shared" ref="K37:N37" ca="1" si="20">K31/($J15/12)/$C$3</f>
        <v>0.18181737313219143</v>
      </c>
      <c r="L37" s="37">
        <f t="shared" ca="1" si="20"/>
        <v>0.2239951011803511</v>
      </c>
      <c r="M37" s="37">
        <f t="shared" ca="1" si="20"/>
        <v>0.27543290220467848</v>
      </c>
      <c r="N37" s="37">
        <f t="shared" ca="1" si="20"/>
        <v>0.33812030148906658</v>
      </c>
      <c r="AC37" s="31" t="s">
        <v>57</v>
      </c>
      <c r="AD37" s="43">
        <v>1E-3</v>
      </c>
      <c r="AE37" s="30">
        <v>0.02</v>
      </c>
      <c r="AF37" s="30">
        <v>0.05</v>
      </c>
      <c r="AG37" s="30">
        <v>0.1</v>
      </c>
      <c r="AH37" s="30">
        <v>0.15</v>
      </c>
      <c r="AI37" s="30">
        <f>AG37+10%</f>
        <v>0.2</v>
      </c>
      <c r="AJ37" s="30">
        <f t="shared" ref="AJ37:AP37" si="21">AI37+10%</f>
        <v>0.30000000000000004</v>
      </c>
      <c r="AK37" s="30">
        <f t="shared" si="21"/>
        <v>0.4</v>
      </c>
      <c r="AL37" s="30">
        <f t="shared" si="21"/>
        <v>0.5</v>
      </c>
      <c r="AM37" s="30">
        <f t="shared" si="21"/>
        <v>0.6</v>
      </c>
      <c r="AN37" s="30">
        <f t="shared" si="21"/>
        <v>0.7</v>
      </c>
      <c r="AO37" s="30">
        <f t="shared" si="21"/>
        <v>0.79999999999999993</v>
      </c>
      <c r="AP37" s="30">
        <f t="shared" si="21"/>
        <v>0.89999999999999991</v>
      </c>
      <c r="AQ37" s="30">
        <v>1</v>
      </c>
    </row>
    <row r="38" spans="2:53" x14ac:dyDescent="0.25">
      <c r="K38" s="37">
        <f t="shared" ref="K38:N38" ca="1" si="22">K32/($J16/12)/$C$3</f>
        <v>0.17100023481860224</v>
      </c>
      <c r="L38" s="37">
        <f t="shared" ca="1" si="22"/>
        <v>0.21571864736213886</v>
      </c>
      <c r="M38" s="37">
        <f t="shared" ca="1" si="22"/>
        <v>0.27046048208213203</v>
      </c>
      <c r="N38" s="37">
        <f t="shared" ca="1" si="22"/>
        <v>0.3358567929636499</v>
      </c>
      <c r="AB38" t="s">
        <v>58</v>
      </c>
      <c r="AC38" s="32" t="s">
        <v>59</v>
      </c>
      <c r="AD38" s="34" cm="1">
        <f t="array" aca="1" ref="AD38:AD41" ca="1">($K14:$K17-($K30:$K33*AD$37/($I$23+($I$24*($K36:$K39*AD$37)^$I$25+$I$22)^-1)/($Q30:$Q33/12))^2/2/gravity)/($K14:$K17)</f>
        <v>0.99968276329516947</v>
      </c>
      <c r="AE38" s="34" cm="1">
        <f t="array" aca="1" ref="AE38:AE41" ca="1">($K14:$K17-($K30:$K33*AE$37/($I$23+($I$24*($K36:$K39*AE$37)^$I$25+$I$22)^-1)/($Q30:$Q33/12))^2/2/gravity)/($K14:$K17)</f>
        <v>0.94758098885749698</v>
      </c>
      <c r="AF38" s="34" cm="1">
        <f t="array" aca="1" ref="AF38:AF41" ca="1">($K14:$K17-($K30:$K33*AF$37/($I$23+($I$24*($K36:$K39*AF$37)^$I$25+$I$22)^-1)/($Q30:$Q33/12))^2/2/gravity)/($K14:$K17)</f>
        <v>0.87123891036234125</v>
      </c>
      <c r="AG38" s="34" cm="1">
        <f t="array" aca="1" ref="AG38:AG41" ca="1">($K14:$K17-($K30:$K33*AG$37/($I$23+($I$24*($K36:$K39*AG$37)^$I$25+$I$22)^-1)/($Q30:$Q33/12))^2/2/gravity)/($K14:$K17)</f>
        <v>0.79500441377702935</v>
      </c>
      <c r="AH38" s="34" cm="1">
        <f t="array" aca="1" ref="AH38:AH41" ca="1">($K14:$K17-($K30:$K33*AH$37/($I$23+($I$24*($K36:$K39*AH$37)^$I$25+$I$22)^-1)/($Q30:$Q33/12))^2/2/gravity)/($K14:$K17)</f>
        <v>0.73842823680501934</v>
      </c>
      <c r="AI38" s="34" cm="1">
        <f t="array" aca="1" ref="AI38:AI41" ca="1">($K14:$K17-($K30:$K33*AI$37/($I$23+($I$24*($K36:$K39*AI$37)^$I$25+$I$22)^-1)/($Q30:$Q33/12))^2/2/gravity)/($K14:$K17)</f>
        <v>0.68595808072769582</v>
      </c>
      <c r="AJ38" s="34" cm="1">
        <f t="array" aca="1" ref="AJ38:AJ41" ca="1">($K14:$K17-($K30:$K33*AJ$37/($I$23+($I$24*($K36:$K39*AJ$37)^$I$25+$I$22)^-1)/($Q30:$Q33/12))^2/2/gravity)/($K14:$K17)</f>
        <v>0.57805355003847936</v>
      </c>
      <c r="AK38" s="34" cm="1">
        <f t="array" aca="1" ref="AK38:AK41" ca="1">($K14:$K17-($K30:$K33*AK$37/($I$23+($I$24*($K36:$K39*AK$37)^$I$25+$I$22)^-1)/($Q30:$Q33/12))^2/2/gravity)/($K14:$K17)</f>
        <v>0.45904545625950516</v>
      </c>
      <c r="AL38" s="34" cm="1">
        <f t="array" aca="1" ref="AL38:AL41" ca="1">($K14:$K17-($K30:$K33*AL$37/($I$23+($I$24*($K36:$K39*AL$37)^$I$25+$I$22)^-1)/($Q30:$Q33/12))^2/2/gravity)/($K14:$K17)</f>
        <v>0.32628558220945919</v>
      </c>
      <c r="AM38" s="34" cm="1">
        <f t="array" aca="1" ref="AM38:AM41" ca="1">($K14:$K17-($K30:$K33*AM$37/($I$23+($I$24*($K36:$K39*AM$37)^$I$25+$I$22)^-1)/($Q30:$Q33/12))^2/2/gravity)/($K14:$K17)</f>
        <v>0.17889254195631807</v>
      </c>
      <c r="AN38" s="34" cm="1">
        <f t="array" aca="1" ref="AN38:AN41" ca="1">($K14:$K17-($K30:$K33*AN$37/($I$23+($I$24*($K36:$K39*AN$37)^$I$25+$I$22)^-1)/($Q30:$Q33/12))^2/2/gravity)/($K14:$K17)</f>
        <v>1.6484850681893606E-2</v>
      </c>
      <c r="AO38" s="34" cm="1">
        <f t="array" aca="1" ref="AO38:AO41" ca="1">($K14:$K17-($K30:$K33*AO$37/($I$23+($I$24*($K36:$K39*AO$37)^$I$25+$I$22)^-1)/($Q30:$Q33/12))^2/2/gravity)/($K14:$K17)</f>
        <v>-0.16113614708682389</v>
      </c>
      <c r="AP38" s="34" cm="1">
        <f t="array" aca="1" ref="AP38:AP41" ca="1">($K14:$K17-($K30:$K33*AP$37/($I$23+($I$24*($K36:$K39*AP$37)^$I$25+$I$22)^-1)/($Q30:$Q33/12))^2/2/gravity)/($K14:$K17)</f>
        <v>-0.35408920308990621</v>
      </c>
      <c r="AQ38" s="34" cm="1">
        <f t="array" aca="1" ref="AQ38:AQ41" ca="1">($K14:$K17-($K30:$K33*AQ$37/($I$23+($I$24*($K36:$K39*AQ$37)^$I$25+$I$22)^-1)/($Q30:$Q33/12))^2/2/gravity)/($K14:$K17)</f>
        <v>-0.56245310512733837</v>
      </c>
    </row>
    <row r="39" spans="2:53" x14ac:dyDescent="0.25">
      <c r="K39" s="37">
        <f t="shared" ref="K39:N39" ca="1" si="23">K33/($J17/12)/$C$3</f>
        <v>0.15426966306428178</v>
      </c>
      <c r="L39" s="37">
        <f t="shared" ca="1" si="23"/>
        <v>0.19847341994461146</v>
      </c>
      <c r="M39" s="37">
        <f t="shared" ca="1" si="23"/>
        <v>0.2566506682198354</v>
      </c>
      <c r="N39" s="37">
        <f t="shared" ca="1" si="23"/>
        <v>0.32628790528529472</v>
      </c>
      <c r="AC39" s="31" t="s">
        <v>60</v>
      </c>
      <c r="AD39" s="34">
        <f ca="1"/>
        <v>0.99968094361705706</v>
      </c>
      <c r="AE39" s="34">
        <f ca="1"/>
        <v>0.94626585765563165</v>
      </c>
      <c r="AF39" s="34">
        <f ca="1"/>
        <v>0.86651134421008458</v>
      </c>
      <c r="AG39" s="34">
        <f ca="1"/>
        <v>0.78653124789127216</v>
      </c>
      <c r="AH39" s="34">
        <f ca="1"/>
        <v>0.72765051159700578</v>
      </c>
      <c r="AI39" s="34">
        <f ca="1"/>
        <v>0.67345996527725327</v>
      </c>
      <c r="AJ39" s="34">
        <f ca="1"/>
        <v>0.56277351746725679</v>
      </c>
      <c r="AK39" s="34">
        <f ca="1"/>
        <v>0.44128904167132843</v>
      </c>
      <c r="AL39" s="34">
        <f ca="1"/>
        <v>0.30613382851399723</v>
      </c>
      <c r="AM39" s="34">
        <f ca="1"/>
        <v>0.15635106337414356</v>
      </c>
      <c r="AN39" s="34">
        <f ca="1"/>
        <v>-8.4720583049924421E-3</v>
      </c>
      <c r="AO39" s="34">
        <f ca="1"/>
        <v>-0.18854925724793389</v>
      </c>
      <c r="AP39" s="34">
        <f ca="1"/>
        <v>-0.38400738500110426</v>
      </c>
      <c r="AQ39" s="34">
        <f ca="1"/>
        <v>-0.59492999180503259</v>
      </c>
    </row>
    <row r="40" spans="2:53" x14ac:dyDescent="0.25">
      <c r="AC40" s="31" t="s">
        <v>61</v>
      </c>
      <c r="AD40" s="34">
        <f ca="1"/>
        <v>0.99967568430557874</v>
      </c>
      <c r="AE40" s="34">
        <f ca="1"/>
        <v>0.94291973780261329</v>
      </c>
      <c r="AF40" s="34">
        <f ca="1"/>
        <v>0.8543073962731349</v>
      </c>
      <c r="AG40" s="34">
        <f ca="1"/>
        <v>0.76435837648318905</v>
      </c>
      <c r="AH40" s="34">
        <f ca="1"/>
        <v>0.69928763666246752</v>
      </c>
      <c r="AI40" s="34">
        <f ca="1"/>
        <v>0.64047805178199491</v>
      </c>
      <c r="AJ40" s="34">
        <f ca="1"/>
        <v>0.52234289640790321</v>
      </c>
      <c r="AK40" s="34">
        <f ca="1"/>
        <v>0.39423513951571942</v>
      </c>
      <c r="AL40" s="34">
        <f ca="1"/>
        <v>0.25266293932016964</v>
      </c>
      <c r="AM40" s="34">
        <f ca="1"/>
        <v>9.6459434928796897E-2</v>
      </c>
      <c r="AN40" s="34">
        <f ca="1"/>
        <v>-7.4875876576759773E-2</v>
      </c>
      <c r="AO40" s="34">
        <f ca="1"/>
        <v>-0.26159901786953055</v>
      </c>
      <c r="AP40" s="34">
        <f ca="1"/>
        <v>-0.46385959548699235</v>
      </c>
      <c r="AQ40" s="34">
        <f ca="1"/>
        <v>-0.68175451786080365</v>
      </c>
    </row>
    <row r="41" spans="2:53" x14ac:dyDescent="0.25">
      <c r="J41" t="s">
        <v>34</v>
      </c>
      <c r="K41" s="9" t="e">
        <f t="shared" ref="K41:M42" ca="1" si="24">K29/($J13/12)</f>
        <v>#DIV/0!</v>
      </c>
      <c r="L41" s="9" t="e">
        <f t="shared" ca="1" si="24"/>
        <v>#DIV/0!</v>
      </c>
      <c r="M41" s="9" t="e">
        <f t="shared" ca="1" si="24"/>
        <v>#DIV/0!</v>
      </c>
      <c r="N41" s="9" t="e">
        <f ca="1">N29/($J13/12)</f>
        <v>#DIV/0!</v>
      </c>
      <c r="P41" s="9"/>
      <c r="AC41" s="31" t="s">
        <v>62</v>
      </c>
      <c r="AD41" s="34">
        <f ca="1"/>
        <v>0.99966300435510624</v>
      </c>
      <c r="AE41" s="34">
        <f ca="1"/>
        <v>0.93637722194714768</v>
      </c>
      <c r="AF41" s="34">
        <f ca="1"/>
        <v>0.82994053106351484</v>
      </c>
      <c r="AG41" s="34">
        <f ca="1"/>
        <v>0.71899412637655469</v>
      </c>
      <c r="AH41" s="34">
        <f ca="1"/>
        <v>0.64063335664444909</v>
      </c>
      <c r="AI41" s="34">
        <f ca="1"/>
        <v>0.57189749264231038</v>
      </c>
      <c r="AJ41" s="34">
        <f ca="1"/>
        <v>0.43782347829495161</v>
      </c>
      <c r="AK41" s="34">
        <f ca="1"/>
        <v>0.29557657194393105</v>
      </c>
      <c r="AL41" s="34">
        <f ca="1"/>
        <v>0.14027504806188831</v>
      </c>
      <c r="AM41" s="34">
        <f ca="1"/>
        <v>-2.9728437848753914E-2</v>
      </c>
      <c r="AN41" s="34">
        <f ca="1"/>
        <v>-0.2151372365013563</v>
      </c>
      <c r="AO41" s="34">
        <f ca="1"/>
        <v>-0.41630582811605538</v>
      </c>
      <c r="AP41" s="34">
        <f ca="1"/>
        <v>-0.63343690429882538</v>
      </c>
      <c r="AQ41" s="34">
        <f ca="1"/>
        <v>-0.86665849915555948</v>
      </c>
    </row>
    <row r="42" spans="2:53" x14ac:dyDescent="0.25">
      <c r="K42" s="9">
        <f t="shared" ca="1" si="24"/>
        <v>18.392099530083215</v>
      </c>
      <c r="L42" s="9">
        <f t="shared" ca="1" si="24"/>
        <v>22.323950113795078</v>
      </c>
      <c r="M42" s="9">
        <f t="shared" ca="1" si="24"/>
        <v>27.243968097408334</v>
      </c>
      <c r="N42" s="9">
        <f ca="1">N30/($J14/12)</f>
        <v>33.389536068345087</v>
      </c>
    </row>
    <row r="43" spans="2:53" x14ac:dyDescent="0.25">
      <c r="K43" s="9">
        <f t="shared" ref="K43:N43" ca="1" si="25">K31/($J15/12)</f>
        <v>17.923193008625166</v>
      </c>
      <c r="L43" s="9">
        <f t="shared" ca="1" si="25"/>
        <v>22.080989084156652</v>
      </c>
      <c r="M43" s="9">
        <f t="shared" ca="1" si="25"/>
        <v>27.151624633532794</v>
      </c>
      <c r="N43" s="9">
        <f t="shared" ca="1" si="25"/>
        <v>33.331223080189204</v>
      </c>
      <c r="AD43" t="s">
        <v>55</v>
      </c>
    </row>
    <row r="44" spans="2:53" x14ac:dyDescent="0.25">
      <c r="K44" s="9">
        <f t="shared" ref="K44:N44" ca="1" si="26">K32/($J16/12)</f>
        <v>16.856861147948173</v>
      </c>
      <c r="L44" s="9">
        <f t="shared" ca="1" si="26"/>
        <v>21.265112819664925</v>
      </c>
      <c r="M44" s="9">
        <f t="shared" ca="1" si="26"/>
        <v>26.661453402692413</v>
      </c>
      <c r="N44" s="9">
        <f t="shared" ca="1" si="26"/>
        <v>33.108090936770679</v>
      </c>
      <c r="AC44" s="31" t="s">
        <v>57</v>
      </c>
      <c r="AD44" s="43">
        <f>AD37</f>
        <v>1E-3</v>
      </c>
      <c r="AE44" s="30">
        <f>AE37</f>
        <v>0.02</v>
      </c>
      <c r="AF44" s="30">
        <f>AF37</f>
        <v>0.05</v>
      </c>
      <c r="AG44" s="30">
        <f>AG37</f>
        <v>0.1</v>
      </c>
      <c r="AH44" s="30">
        <f>AH37</f>
        <v>0.15</v>
      </c>
      <c r="AI44" s="30">
        <f t="shared" ref="AI44:AO44" si="27">AI37</f>
        <v>0.2</v>
      </c>
      <c r="AJ44" s="30">
        <f t="shared" si="27"/>
        <v>0.30000000000000004</v>
      </c>
      <c r="AK44" s="30">
        <f t="shared" si="27"/>
        <v>0.4</v>
      </c>
      <c r="AL44" s="30">
        <f t="shared" si="27"/>
        <v>0.5</v>
      </c>
      <c r="AM44" s="30">
        <f t="shared" si="27"/>
        <v>0.6</v>
      </c>
      <c r="AN44" s="30">
        <f t="shared" si="27"/>
        <v>0.7</v>
      </c>
      <c r="AO44" s="30">
        <f t="shared" si="27"/>
        <v>0.79999999999999993</v>
      </c>
      <c r="AP44" s="30">
        <f t="shared" ref="AP44" si="28">AP37</f>
        <v>0.89999999999999991</v>
      </c>
      <c r="AQ44" s="30">
        <f>AQ37</f>
        <v>1</v>
      </c>
    </row>
    <row r="45" spans="2:53" x14ac:dyDescent="0.25">
      <c r="K45" s="9">
        <f t="shared" ref="K45:N45" ca="1" si="29">K33/($J17/12)</f>
        <v>15.207594845550769</v>
      </c>
      <c r="L45" s="9">
        <f t="shared" ca="1" si="29"/>
        <v>19.56511279129991</v>
      </c>
      <c r="M45" s="9">
        <f t="shared" ca="1" si="29"/>
        <v>25.300109571774936</v>
      </c>
      <c r="N45" s="9">
        <f t="shared" ca="1" si="29"/>
        <v>32.164809127213786</v>
      </c>
      <c r="AB45" t="s">
        <v>58</v>
      </c>
      <c r="AC45" s="32" t="s">
        <v>59</v>
      </c>
      <c r="AD45" s="34" cm="1">
        <f t="array" aca="1" ref="AD45:AD48" ca="1">($L14:$L17-($L30:$L33*AD$37/($I$23+($I$24*($L36:$L39*AD$37)^$I$25+$I$22)^-1)/($Q30:$Q33/12))^2/2/gravity)/($L14:$L17)</f>
        <v>0.99969111267404309</v>
      </c>
      <c r="AE45" s="34" cm="1">
        <f t="array" aca="1" ref="AE45:AE48" ca="1">($L14:$L17-($L30:$L33*AE$37/($I$23+($I$24*($L36:$L39*AE$37)^$I$25+$I$22)^-1)/($Q30:$Q33/12))^2/2/gravity)/($L14:$L17)</f>
        <v>0.95618381111229878</v>
      </c>
      <c r="AF45" s="34" cm="1">
        <f t="array" aca="1" ref="AF45:AF48" ca="1">($L14:$L17-($L30:$L33*AF$37/($I$23+($I$24*($L36:$L39*AF$37)^$I$25+$I$22)^-1)/($Q30:$Q33/12))^2/2/gravity)/($L14:$L17)</f>
        <v>0.90079962339407715</v>
      </c>
      <c r="AG45" s="34" cm="1">
        <f t="array" aca="1" ref="AG45:AG48" ca="1">($L14:$L17-($L30:$L33*AG$37/($I$23+($I$24*($L36:$L39*AG$37)^$I$25+$I$22)^-1)/($Q30:$Q33/12))^2/2/gravity)/($L14:$L17)</f>
        <v>0.84624118433093642</v>
      </c>
      <c r="AH45" s="34" cm="1">
        <f t="array" aca="1" ref="AH45:AH48" ca="1">($L14:$L17-($L30:$L33*AH$37/($I$23+($I$24*($L36:$L39*AH$37)^$I$25+$I$22)^-1)/($Q30:$Q33/12))^2/2/gravity)/($L14:$L17)</f>
        <v>0.80277746844542708</v>
      </c>
      <c r="AI45" s="34" cm="1">
        <f t="array" aca="1" ref="AI45:AI48" ca="1">($L14:$L17-($L30:$L33*AI$37/($I$23+($I$24*($L36:$L39*AI$37)^$I$25+$I$22)^-1)/($Q30:$Q33/12))^2/2/gravity)/($L14:$L17)</f>
        <v>0.76013490566541064</v>
      </c>
      <c r="AJ45" s="34" cm="1">
        <f t="array" aca="1" ref="AJ45:AJ48" ca="1">($L14:$L17-($L30:$L33*AJ$37/($I$23+($I$24*($L36:$L39*AJ$37)^$I$25+$I$22)^-1)/($Q30:$Q33/12))^2/2/gravity)/($L14:$L17)</f>
        <v>0.66824175329805213</v>
      </c>
      <c r="AK45" s="34" cm="1">
        <f t="array" aca="1" ref="AK45:AK48" ca="1">($L14:$L17-($L30:$L33*AK$37/($I$23+($I$24*($L36:$L39*AK$37)^$I$25+$I$22)^-1)/($Q30:$Q33/12))^2/2/gravity)/($L14:$L17)</f>
        <v>0.56351067922830445</v>
      </c>
      <c r="AL45" s="34" cm="1">
        <f t="array" aca="1" ref="AL45:AL48" ca="1">($L14:$L17-($L30:$L33*AL$37/($I$23+($I$24*($L36:$L39*AL$37)^$I$25+$I$22)^-1)/($Q30:$Q33/12))^2/2/gravity)/($L14:$L17)</f>
        <v>0.44448465735692255</v>
      </c>
      <c r="AM45" s="34" cm="1">
        <f t="array" aca="1" ref="AM45:AM48" ca="1">($L14:$L17-($L30:$L33*AM$37/($I$23+($I$24*($L36:$L39*AM$37)^$I$25+$I$22)^-1)/($Q30:$Q33/12))^2/2/gravity)/($L14:$L17)</f>
        <v>0.31067442880555662</v>
      </c>
      <c r="AN45" s="34" cm="1">
        <f t="array" aca="1" ref="AN45:AN48" ca="1">($L14:$L17-($L30:$L33*AN$37/($I$23+($I$24*($L36:$L39*AN$37)^$I$25+$I$22)^-1)/($Q30:$Q33/12))^2/2/gravity)/($L14:$L17)</f>
        <v>0.16185958604590731</v>
      </c>
      <c r="AO45" s="34" cm="1">
        <f t="array" aca="1" ref="AO45:AO48" ca="1">($L14:$L17-($L30:$L33*AO$37/($I$23+($I$24*($L36:$L39*AO$37)^$I$25+$I$22)^-1)/($Q30:$Q33/12))^2/2/gravity)/($L14:$L17)</f>
        <v>-2.0813522617787123E-3</v>
      </c>
      <c r="AP45" s="34" cm="1">
        <f t="array" aca="1" ref="AP45:AP48" ca="1">($L14:$L17-($L30:$L33*AP$37/($I$23+($I$24*($L36:$L39*AP$37)^$I$25+$I$22)^-1)/($Q30:$Q33/12))^2/2/gravity)/($L14:$L17)</f>
        <v>-0.18122556443918569</v>
      </c>
      <c r="AQ45" s="34" cm="1">
        <f t="array" aca="1" ref="AQ45:AQ48" ca="1">($L14:$L17-($L30:$L33*AQ$37/($I$23+($I$24*($L36:$L39*AQ$37)^$I$25+$I$22)^-1)/($Q30:$Q33/12))^2/2/gravity)/($L14:$L17)</f>
        <v>-0.37562721547730382</v>
      </c>
    </row>
    <row r="46" spans="2:53" x14ac:dyDescent="0.25">
      <c r="AC46" s="31" t="s">
        <v>60</v>
      </c>
      <c r="AD46" s="34">
        <f ca="1"/>
        <v>0.99969083301479478</v>
      </c>
      <c r="AE46" s="34">
        <f ca="1"/>
        <v>0.95574459737371087</v>
      </c>
      <c r="AF46" s="34">
        <f ca="1"/>
        <v>0.89935988786843246</v>
      </c>
      <c r="AG46" s="34">
        <f ca="1"/>
        <v>0.84382306018937703</v>
      </c>
      <c r="AH46" s="34">
        <f ca="1"/>
        <v>0.7997750286665094</v>
      </c>
      <c r="AI46" s="34">
        <f ca="1"/>
        <v>0.75669184947702595</v>
      </c>
      <c r="AJ46" s="34">
        <f ca="1"/>
        <v>0.66407510887989962</v>
      </c>
      <c r="AK46" s="34">
        <f ca="1"/>
        <v>0.55869832166258038</v>
      </c>
      <c r="AL46" s="34">
        <f ca="1"/>
        <v>0.43905532804853459</v>
      </c>
      <c r="AM46" s="34">
        <f ca="1"/>
        <v>0.30464101283235651</v>
      </c>
      <c r="AN46" s="34">
        <f ca="1"/>
        <v>0.15522851707643009</v>
      </c>
      <c r="AO46" s="34">
        <f ca="1"/>
        <v>-9.306725907227021E-3</v>
      </c>
      <c r="AP46" s="34">
        <f ca="1"/>
        <v>-0.18904356499278718</v>
      </c>
      <c r="AQ46" s="34">
        <f ca="1"/>
        <v>-0.3840371656994509</v>
      </c>
    </row>
    <row r="47" spans="2:53" x14ac:dyDescent="0.25">
      <c r="AC47" s="31" t="s">
        <v>61</v>
      </c>
      <c r="AD47" s="34">
        <f ca="1"/>
        <v>0.99968972621803154</v>
      </c>
      <c r="AE47" s="34">
        <f ca="1"/>
        <v>0.95419727995061288</v>
      </c>
      <c r="AF47" s="34">
        <f ca="1"/>
        <v>0.89422128021277936</v>
      </c>
      <c r="AG47" s="34">
        <f ca="1"/>
        <v>0.83512355693896567</v>
      </c>
      <c r="AH47" s="34">
        <f ca="1"/>
        <v>0.78894358893665972</v>
      </c>
      <c r="AI47" s="34">
        <f ca="1"/>
        <v>0.74425583299804254</v>
      </c>
      <c r="AJ47" s="34">
        <f ca="1"/>
        <v>0.64900945147228528</v>
      </c>
      <c r="AK47" s="34">
        <f ca="1"/>
        <v>0.54128607849545185</v>
      </c>
      <c r="AL47" s="34">
        <f ca="1"/>
        <v>0.41939659750545821</v>
      </c>
      <c r="AM47" s="34">
        <f ca="1"/>
        <v>0.28277657835808434</v>
      </c>
      <c r="AN47" s="34">
        <f ca="1"/>
        <v>0.13117498074624967</v>
      </c>
      <c r="AO47" s="34">
        <f ca="1"/>
        <v>-3.5544326279416429E-2</v>
      </c>
      <c r="AP47" s="34">
        <f ca="1"/>
        <v>-0.21746644152928077</v>
      </c>
      <c r="AQ47" s="34">
        <f ca="1"/>
        <v>-0.41465026105829023</v>
      </c>
    </row>
    <row r="48" spans="2:53" x14ac:dyDescent="0.25">
      <c r="AC48" s="31" t="s">
        <v>62</v>
      </c>
      <c r="AD48" s="34">
        <f ca="1"/>
        <v>0.99968633436947052</v>
      </c>
      <c r="AE48" s="34">
        <f ca="1"/>
        <v>0.95054350790131037</v>
      </c>
      <c r="AF48" s="34">
        <f ca="1"/>
        <v>0.88171178509199688</v>
      </c>
      <c r="AG48" s="34">
        <f ca="1"/>
        <v>0.81351854206383822</v>
      </c>
      <c r="AH48" s="34">
        <f ca="1"/>
        <v>0.76185034090092518</v>
      </c>
      <c r="AI48" s="34">
        <f ca="1"/>
        <v>0.71304808486271298</v>
      </c>
      <c r="AJ48" s="34">
        <f ca="1"/>
        <v>0.61109229523251596</v>
      </c>
      <c r="AK48" s="34">
        <f ca="1"/>
        <v>0.49738442402630384</v>
      </c>
      <c r="AL48" s="34">
        <f ca="1"/>
        <v>0.36974121336147969</v>
      </c>
      <c r="AM48" s="34">
        <f ca="1"/>
        <v>0.22743609059987158</v>
      </c>
      <c r="AN48" s="34">
        <f ca="1"/>
        <v>7.0151532867073221E-2</v>
      </c>
      <c r="AO48" s="34">
        <f ca="1"/>
        <v>-0.10228041657797488</v>
      </c>
      <c r="AP48" s="34">
        <f ca="1"/>
        <v>-0.28996200143711082</v>
      </c>
      <c r="AQ48" s="34">
        <f ca="1"/>
        <v>-0.49296228047961266</v>
      </c>
    </row>
    <row r="50" spans="28:43" x14ac:dyDescent="0.25">
      <c r="AD50" s="1" t="s">
        <v>56</v>
      </c>
      <c r="AE50" s="1"/>
      <c r="AF50" s="1"/>
      <c r="AG50" s="1"/>
      <c r="AH50" s="1"/>
    </row>
    <row r="51" spans="28:43" x14ac:dyDescent="0.25">
      <c r="AC51" s="31" t="s">
        <v>57</v>
      </c>
      <c r="AD51" s="43">
        <f>AD37</f>
        <v>1E-3</v>
      </c>
      <c r="AE51" s="30">
        <f>AE37</f>
        <v>0.02</v>
      </c>
      <c r="AF51" s="30">
        <f>AF37</f>
        <v>0.05</v>
      </c>
      <c r="AG51" s="30">
        <f>AG37</f>
        <v>0.1</v>
      </c>
      <c r="AH51" s="30">
        <f>AH37</f>
        <v>0.15</v>
      </c>
      <c r="AI51" s="30">
        <f t="shared" ref="AI51:AO51" si="30">AI37</f>
        <v>0.2</v>
      </c>
      <c r="AJ51" s="30">
        <f t="shared" si="30"/>
        <v>0.30000000000000004</v>
      </c>
      <c r="AK51" s="30">
        <f t="shared" si="30"/>
        <v>0.4</v>
      </c>
      <c r="AL51" s="30">
        <f t="shared" si="30"/>
        <v>0.5</v>
      </c>
      <c r="AM51" s="30">
        <f t="shared" si="30"/>
        <v>0.6</v>
      </c>
      <c r="AN51" s="30">
        <f t="shared" si="30"/>
        <v>0.7</v>
      </c>
      <c r="AO51" s="30">
        <f t="shared" si="30"/>
        <v>0.79999999999999993</v>
      </c>
      <c r="AP51" s="30">
        <f t="shared" ref="AP51" si="31">AP37</f>
        <v>0.89999999999999991</v>
      </c>
      <c r="AQ51" s="30">
        <f>AQ37</f>
        <v>1</v>
      </c>
    </row>
    <row r="52" spans="28:43" x14ac:dyDescent="0.25">
      <c r="AB52" t="s">
        <v>58</v>
      </c>
      <c r="AC52" s="32" t="s">
        <v>59</v>
      </c>
      <c r="AD52" s="34" cm="1">
        <f t="array" aca="1" ref="AD52:AD55" ca="1">($M14:$M17-($M30:$M33*AD$37/($I$23+($I$24*($M36:$M39*AD$37)^$I$25+$I$22)^-1)/($Q30:$Q33/12))^2/2/gravity)/($M14:$M17)</f>
        <v>0.99969376450746794</v>
      </c>
      <c r="AE52" s="34" cm="1">
        <f t="array" aca="1" ref="AE52:AE55" ca="1">($M14:$M17-($M30:$M33*AE$37/($I$23+($I$24*($M36:$M39*AE$37)^$I$25+$I$22)^-1)/($Q30:$Q33/12))^2/2/gravity)/($M14:$M17)</f>
        <v>0.96350714496272172</v>
      </c>
      <c r="AF52" s="34" cm="1">
        <f t="array" aca="1" ref="AF52:AF55" ca="1">($M14:$M17-($M30:$M33*AF$37/($I$23+($I$24*($M36:$M39*AF$37)^$I$25+$I$22)^-1)/($Q30:$Q33/12))^2/2/gravity)/($M14:$M17)</f>
        <v>0.9234323737756831</v>
      </c>
      <c r="AG52" s="34" cm="1">
        <f t="array" aca="1" ref="AG52:AG55" ca="1">($M14:$M17-($M30:$M33*AG$37/($I$23+($I$24*($M36:$M39*AG$37)^$I$25+$I$22)^-1)/($Q30:$Q33/12))^2/2/gravity)/($M14:$M17)</f>
        <v>0.8830674970180461</v>
      </c>
      <c r="AH52" s="34" cm="1">
        <f t="array" aca="1" ref="AH52:AH55" ca="1">($M14:$M17-($M30:$M33*AH$37/($I$23+($I$24*($M36:$M39*AH$37)^$I$25+$I$22)^-1)/($Q30:$Q33/12))^2/2/gravity)/($M14:$M17)</f>
        <v>0.84803813980835419</v>
      </c>
      <c r="AI52" s="34" cm="1">
        <f t="array" aca="1" ref="AI52:AI55" ca="1">($M14:$M17-($M30:$M33*AI$37/($I$23+($I$24*($M36:$M39*AI$37)^$I$25+$I$22)^-1)/($Q30:$Q33/12))^2/2/gravity)/($M14:$M17)</f>
        <v>0.81181849092345559</v>
      </c>
      <c r="AJ52" s="34" cm="1">
        <f t="array" aca="1" ref="AJ52:AJ55" ca="1">($M14:$M17-($M30:$M33*AJ$37/($I$23+($I$24*($M36:$M39*AJ$37)^$I$25+$I$22)^-1)/($Q30:$Q33/12))^2/2/gravity)/($M14:$M17)</f>
        <v>0.73056203642809181</v>
      </c>
      <c r="AK52" s="34" cm="1">
        <f t="array" aca="1" ref="AK52:AK55" ca="1">($M14:$M17-($M30:$M33*AK$37/($I$23+($I$24*($M36:$M39*AK$37)^$I$25+$I$22)^-1)/($Q30:$Q33/12))^2/2/gravity)/($M14:$M17)</f>
        <v>0.63531051442629771</v>
      </c>
      <c r="AL52" s="34" cm="1">
        <f t="array" aca="1" ref="AL52:AL55" ca="1">($M14:$M17-($M30:$M33*AL$37/($I$23+($I$24*($M36:$M39*AL$37)^$I$25+$I$22)^-1)/($Q30:$Q33/12))^2/2/gravity)/($M14:$M17)</f>
        <v>0.52525593257481396</v>
      </c>
      <c r="AM52" s="34" cm="1">
        <f t="array" aca="1" ref="AM52:AM55" ca="1">($M14:$M17-($M30:$M33*AM$37/($I$23+($I$24*($M36:$M39*AM$37)^$I$25+$I$22)^-1)/($Q30:$Q33/12))^2/2/gravity)/($M14:$M17)</f>
        <v>0.40011519327357303</v>
      </c>
      <c r="AN52" s="34" cm="1">
        <f t="array" aca="1" ref="AN52:AN55" ca="1">($M14:$M17-($M30:$M33*AN$37/($I$23+($I$24*($M36:$M39*AN$37)^$I$25+$I$22)^-1)/($Q30:$Q33/12))^2/2/gravity)/($M14:$M17)</f>
        <v>0.2597513491411258</v>
      </c>
      <c r="AO52" s="34" cm="1">
        <f t="array" aca="1" ref="AO52:AO55" ca="1">($M14:$M17-($M30:$M33*AO$37/($I$23+($I$24*($M36:$M39*AO$37)^$I$25+$I$22)^-1)/($Q30:$Q33/12))^2/2/gravity)/($M14:$M17)</f>
        <v>0.10408298470555173</v>
      </c>
      <c r="AP52" s="34" cm="1">
        <f t="array" aca="1" ref="AP52:AP55" ca="1">($M14:$M17-($M30:$M33*AP$37/($I$23+($I$24*($M36:$M39*AP$37)^$I$25+$I$22)^-1)/($Q30:$Q33/12))^2/2/gravity)/($M14:$M17)</f>
        <v>-6.6945131979648811E-2</v>
      </c>
      <c r="AQ52" s="34" cm="1">
        <f t="array" aca="1" ref="AQ52:AQ55" ca="1">($M14:$M17-($M30:$M33*AQ$37/($I$23+($I$24*($M36:$M39*AQ$37)^$I$25+$I$22)^-1)/($Q30:$Q33/12))^2/2/gravity)/($M14:$M17)</f>
        <v>-0.2533737847846172</v>
      </c>
    </row>
    <row r="53" spans="28:43" x14ac:dyDescent="0.25">
      <c r="AC53" s="31" t="s">
        <v>60</v>
      </c>
      <c r="AD53" s="34">
        <f ca="1"/>
        <v>0.99969374841468794</v>
      </c>
      <c r="AE53" s="34">
        <f ca="1"/>
        <v>0.9633914100225085</v>
      </c>
      <c r="AF53" s="34">
        <f ca="1"/>
        <v>0.92309618254970238</v>
      </c>
      <c r="AG53" s="34">
        <f ca="1"/>
        <v>0.8825375295694502</v>
      </c>
      <c r="AH53" s="34">
        <f ca="1"/>
        <v>0.84739309842773036</v>
      </c>
      <c r="AI53" s="34">
        <f ca="1"/>
        <v>0.81108472477877891</v>
      </c>
      <c r="AJ53" s="34">
        <f ca="1"/>
        <v>0.72968003341304732</v>
      </c>
      <c r="AK53" s="34">
        <f ca="1"/>
        <v>0.63429676690839309</v>
      </c>
      <c r="AL53" s="34">
        <f ca="1"/>
        <v>0.52411898154021053</v>
      </c>
      <c r="AM53" s="34">
        <f ca="1"/>
        <v>0.39886109458220537</v>
      </c>
      <c r="AN53" s="34">
        <f ca="1"/>
        <v>0.25838515521765604</v>
      </c>
      <c r="AO53" s="34">
        <f ca="1"/>
        <v>0.10260926197439386</v>
      </c>
      <c r="AP53" s="34">
        <f ca="1"/>
        <v>-6.8522088288029637E-2</v>
      </c>
      <c r="AQ53" s="34">
        <f ca="1"/>
        <v>-0.25504984903489475</v>
      </c>
    </row>
    <row r="54" spans="28:43" x14ac:dyDescent="0.25">
      <c r="AC54" s="31" t="s">
        <v>61</v>
      </c>
      <c r="AD54" s="34">
        <f ca="1"/>
        <v>0.999693649092114</v>
      </c>
      <c r="AE54" s="34">
        <f ca="1"/>
        <v>0.96276562722091175</v>
      </c>
      <c r="AF54" s="34">
        <f ca="1"/>
        <v>0.92126594144680041</v>
      </c>
      <c r="AG54" s="34">
        <f ca="1"/>
        <v>0.87964305839696255</v>
      </c>
      <c r="AH54" s="34">
        <f ca="1"/>
        <v>0.84386687276379424</v>
      </c>
      <c r="AI54" s="34">
        <f ca="1"/>
        <v>0.80707209998996077</v>
      </c>
      <c r="AJ54" s="34">
        <f ca="1"/>
        <v>0.72485547833156971</v>
      </c>
      <c r="AK54" s="34">
        <f ca="1"/>
        <v>0.62875030970037593</v>
      </c>
      <c r="AL54" s="34">
        <f ca="1"/>
        <v>0.51789647923527371</v>
      </c>
      <c r="AM54" s="34">
        <f ca="1"/>
        <v>0.39199457949618388</v>
      </c>
      <c r="AN54" s="34">
        <f ca="1"/>
        <v>0.25090107800046685</v>
      </c>
      <c r="AO54" s="34">
        <f ca="1"/>
        <v>9.4531373502231106E-2</v>
      </c>
      <c r="AP54" s="34">
        <f ca="1"/>
        <v>-7.7171540082356771E-2</v>
      </c>
      <c r="AQ54" s="34">
        <f ca="1"/>
        <v>-0.26424955328320099</v>
      </c>
    </row>
    <row r="55" spans="28:43" x14ac:dyDescent="0.25">
      <c r="AC55" s="31" t="s">
        <v>62</v>
      </c>
      <c r="AD55" s="34">
        <f ca="1"/>
        <v>0.99969322608826561</v>
      </c>
      <c r="AE55" s="34">
        <f ca="1"/>
        <v>0.96091841993177807</v>
      </c>
      <c r="AF55" s="34">
        <f ca="1"/>
        <v>0.91574236615606874</v>
      </c>
      <c r="AG55" s="34">
        <f ca="1"/>
        <v>0.87081331100722748</v>
      </c>
      <c r="AH55" s="34">
        <f ca="1"/>
        <v>0.83307575654045563</v>
      </c>
      <c r="AI55" s="34">
        <f ca="1"/>
        <v>0.79477772593394713</v>
      </c>
      <c r="AJ55" s="34">
        <f ca="1"/>
        <v>0.71005921204437883</v>
      </c>
      <c r="AK55" s="34">
        <f ca="1"/>
        <v>0.61172688525949703</v>
      </c>
      <c r="AL55" s="34">
        <f ca="1"/>
        <v>0.49877821663995481</v>
      </c>
      <c r="AM55" s="34">
        <f ca="1"/>
        <v>0.37086900412027796</v>
      </c>
      <c r="AN55" s="34">
        <f ca="1"/>
        <v>0.22783762531082727</v>
      </c>
      <c r="AO55" s="34">
        <f ca="1"/>
        <v>6.9590762206728482E-2</v>
      </c>
      <c r="AP55" s="34">
        <f ca="1"/>
        <v>-0.10393340941415857</v>
      </c>
      <c r="AQ55" s="34">
        <f ca="1"/>
        <v>-0.29277975622570224</v>
      </c>
    </row>
    <row r="57" spans="28:43" x14ac:dyDescent="0.25">
      <c r="AD57" s="1" t="s">
        <v>63</v>
      </c>
      <c r="AE57" s="1"/>
      <c r="AF57" s="1"/>
      <c r="AG57" s="1"/>
      <c r="AH57" s="1"/>
    </row>
    <row r="58" spans="28:43" x14ac:dyDescent="0.25">
      <c r="AC58" s="31" t="s">
        <v>57</v>
      </c>
      <c r="AD58" s="43">
        <f>AD37</f>
        <v>1E-3</v>
      </c>
      <c r="AE58" s="30">
        <f>AE37</f>
        <v>0.02</v>
      </c>
      <c r="AF58" s="30">
        <f>AF37</f>
        <v>0.05</v>
      </c>
      <c r="AG58" s="30">
        <f>AG37</f>
        <v>0.1</v>
      </c>
      <c r="AH58" s="30">
        <f>AH37</f>
        <v>0.15</v>
      </c>
      <c r="AI58" s="30">
        <f t="shared" ref="AI58:AO58" si="32">AI37</f>
        <v>0.2</v>
      </c>
      <c r="AJ58" s="30">
        <f t="shared" si="32"/>
        <v>0.30000000000000004</v>
      </c>
      <c r="AK58" s="30">
        <f t="shared" si="32"/>
        <v>0.4</v>
      </c>
      <c r="AL58" s="30">
        <f t="shared" si="32"/>
        <v>0.5</v>
      </c>
      <c r="AM58" s="30">
        <f t="shared" si="32"/>
        <v>0.6</v>
      </c>
      <c r="AN58" s="30">
        <f t="shared" si="32"/>
        <v>0.7</v>
      </c>
      <c r="AO58" s="30">
        <f t="shared" si="32"/>
        <v>0.79999999999999993</v>
      </c>
      <c r="AP58" s="30">
        <f t="shared" ref="AP58" si="33">AP37</f>
        <v>0.89999999999999991</v>
      </c>
      <c r="AQ58" s="30">
        <f>AQ37</f>
        <v>1</v>
      </c>
    </row>
    <row r="59" spans="28:43" x14ac:dyDescent="0.25">
      <c r="AB59" t="s">
        <v>58</v>
      </c>
      <c r="AC59" s="32" t="s">
        <v>59</v>
      </c>
      <c r="AD59" s="34" cm="1">
        <f t="array" aca="1" ref="AD59:AD62" ca="1">($N14:$N17-($N30:$N33*AD$37/($I$23+($I$24*($N36:$N39*AD$37)^$I$25+$I$22)^-1)/($Q30:$Q33/12))^2/2/gravity)/($N14:$N17)</f>
        <v>0.99969379114773382</v>
      </c>
      <c r="AE59" s="34" cm="1">
        <f t="array" aca="1" ref="AE59:AE62" ca="1">($N14:$N17-($N30:$N33*AE$37/($I$23+($I$24*($N36:$N39*AE$37)^$I$25+$I$22)^-1)/($Q30:$Q33/12))^2/2/gravity)/($N14:$N17)</f>
        <v>0.9699780822224715</v>
      </c>
      <c r="AF59" s="34" cm="1">
        <f t="array" aca="1" ref="AF59:AF62" ca="1">($N14:$N17-($N30:$N33*AF$37/($I$23+($I$24*($N36:$N39*AF$37)^$I$25+$I$22)^-1)/($Q30:$Q33/12))^2/2/gravity)/($N14:$N17)</f>
        <v>0.94106727537169566</v>
      </c>
      <c r="AG59" s="34" cm="1">
        <f t="array" aca="1" ref="AG59:AG62" ca="1">($N14:$N17-($N30:$N33*AG$37/($I$23+($I$24*($N36:$N39*AG$37)^$I$25+$I$22)^-1)/($Q30:$Q33/12))^2/2/gravity)/($N14:$N17)</f>
        <v>0.91011176864101972</v>
      </c>
      <c r="AH59" s="34" cm="1">
        <f t="array" aca="1" ref="AH59:AH62" ca="1">($N14:$N17-($N30:$N33*AH$37/($I$23+($I$24*($N36:$N39*AH$37)^$I$25+$I$22)^-1)/($Q30:$Q33/12))^2/2/gravity)/($N14:$N17)</f>
        <v>0.88071511947084702</v>
      </c>
      <c r="AI59" s="34" cm="1">
        <f t="array" aca="1" ref="AI59:AI62" ca="1">($N14:$N17-($N30:$N33*AI$37/($I$23+($I$24*($N36:$N39*AI$37)^$I$25+$I$22)^-1)/($Q30:$Q33/12))^2/2/gravity)/($N14:$N17)</f>
        <v>0.84889941054556373</v>
      </c>
      <c r="AJ59" s="34" cm="1">
        <f t="array" aca="1" ref="AJ59:AJ62" ca="1">($N14:$N17-($N30:$N33*AJ$37/($I$23+($I$24*($N36:$N39*AJ$37)^$I$25+$I$22)^-1)/($Q30:$Q33/12))^2/2/gravity)/($N14:$N17)</f>
        <v>0.77505467599112554</v>
      </c>
      <c r="AK59" s="34" cm="1">
        <f t="array" aca="1" ref="AK59:AK62" ca="1">($N14:$N17-($N30:$N33*AK$37/($I$23+($I$24*($N36:$N39*AK$37)^$I$25+$I$22)^-1)/($Q30:$Q33/12))^2/2/gravity)/($N14:$N17)</f>
        <v>0.68635548898584509</v>
      </c>
      <c r="AL59" s="34" cm="1">
        <f t="array" aca="1" ref="AL59:AL62" ca="1">($N14:$N17-($N30:$N33*AL$37/($I$23+($I$24*($N36:$N39*AL$37)^$I$25+$I$22)^-1)/($Q30:$Q33/12))^2/2/gravity)/($N14:$N17)</f>
        <v>0.58234214380730021</v>
      </c>
      <c r="AM59" s="34" cm="1">
        <f t="array" aca="1" ref="AM59:AM62" ca="1">($N14:$N17-($N30:$N33*AM$37/($I$23+($I$24*($N36:$N39*AM$37)^$I$25+$I$22)^-1)/($Q30:$Q33/12))^2/2/gravity)/($N14:$N17)</f>
        <v>0.46283941049505994</v>
      </c>
      <c r="AN59" s="34" cm="1">
        <f t="array" aca="1" ref="AN59:AN62" ca="1">($N14:$N17-($N30:$N33*AN$37/($I$23+($I$24*($N36:$N39*AN$37)^$I$25+$I$22)^-1)/($Q30:$Q33/12))^2/2/gravity)/($N14:$N17)</f>
        <v>0.32775411535117549</v>
      </c>
      <c r="AO59" s="34" cm="1">
        <f t="array" aca="1" ref="AO59:AO62" ca="1">($N14:$N17-($N30:$N33*AO$37/($I$23+($I$24*($N36:$N39*AO$37)^$I$25+$I$22)^-1)/($Q30:$Q33/12))^2/2/gravity)/($N14:$N17)</f>
        <v>0.17702640629491792</v>
      </c>
      <c r="AP59" s="34" cm="1">
        <f t="array" aca="1" ref="AP59:AP62" ca="1">($N14:$N17-($N30:$N33*AP$37/($I$23+($I$24*($N36:$N39*AP$37)^$I$25+$I$22)^-1)/($Q30:$Q33/12))^2/2/gravity)/($N14:$N17)</f>
        <v>1.0613397971245126E-2</v>
      </c>
      <c r="AQ59" s="34" cm="1">
        <f t="array" aca="1" ref="AQ59:AQ62" ca="1">($N14:$N17-($N30:$N33*AQ$37/($I$23+($I$24*($N36:$N39*AQ$37)^$I$25+$I$22)^-1)/($Q30:$Q33/12))^2/2/gravity)/($N14:$N17)</f>
        <v>-0.17151773583348109</v>
      </c>
    </row>
    <row r="60" spans="28:43" x14ac:dyDescent="0.25">
      <c r="AC60" s="31" t="s">
        <v>60</v>
      </c>
      <c r="AD60" s="34">
        <f ca="1"/>
        <v>0.99969379575633566</v>
      </c>
      <c r="AE60" s="34">
        <f ca="1"/>
        <v>0.96992608974483552</v>
      </c>
      <c r="AF60" s="34">
        <f ca="1"/>
        <v>0.94093471565968101</v>
      </c>
      <c r="AG60" s="34">
        <f ca="1"/>
        <v>0.90991404196237324</v>
      </c>
      <c r="AH60" s="34">
        <f ca="1"/>
        <v>0.8804778408643843</v>
      </c>
      <c r="AI60" s="34">
        <f ca="1"/>
        <v>0.84863069842497341</v>
      </c>
      <c r="AJ60" s="34">
        <f ca="1"/>
        <v>0.77473268116706862</v>
      </c>
      <c r="AK60" s="34">
        <f ca="1"/>
        <v>0.68598673675231714</v>
      </c>
      <c r="AL60" s="34">
        <f ca="1"/>
        <v>0.58193102979059441</v>
      </c>
      <c r="AM60" s="34">
        <f ca="1"/>
        <v>0.46238967538707509</v>
      </c>
      <c r="AN60" s="34">
        <f ca="1"/>
        <v>0.32726923084356252</v>
      </c>
      <c r="AO60" s="34">
        <f ca="1"/>
        <v>0.1765097079065025</v>
      </c>
      <c r="AP60" s="34">
        <f ca="1"/>
        <v>1.0068140365701158E-2</v>
      </c>
      <c r="AQ60" s="34">
        <f ca="1"/>
        <v>-0.17208835214626128</v>
      </c>
    </row>
    <row r="61" spans="28:43" x14ac:dyDescent="0.25">
      <c r="AC61" s="31" t="s">
        <v>61</v>
      </c>
      <c r="AD61" s="34">
        <f ca="1"/>
        <v>0.99969381310053118</v>
      </c>
      <c r="AE61" s="34">
        <f ca="1"/>
        <v>0.96972574534646327</v>
      </c>
      <c r="AF61" s="34">
        <f ca="1"/>
        <v>0.94042254272922321</v>
      </c>
      <c r="AG61" s="34">
        <f ca="1"/>
        <v>0.90914929203093464</v>
      </c>
      <c r="AH61" s="34">
        <f ca="1"/>
        <v>0.87955990440140697</v>
      </c>
      <c r="AI61" s="34">
        <f ca="1"/>
        <v>0.84759109985570547</v>
      </c>
      <c r="AJ61" s="34">
        <f ca="1"/>
        <v>0.77348690483393856</v>
      </c>
      <c r="AK61" s="34">
        <f ca="1"/>
        <v>0.68455996831381416</v>
      </c>
      <c r="AL61" s="34">
        <f ca="1"/>
        <v>0.58034015946201944</v>
      </c>
      <c r="AM61" s="34">
        <f ca="1"/>
        <v>0.46064904205719243</v>
      </c>
      <c r="AN61" s="34">
        <f ca="1"/>
        <v>0.32539212624397412</v>
      </c>
      <c r="AO61" s="34">
        <f ca="1"/>
        <v>0.17450889437492265</v>
      </c>
      <c r="AP61" s="34">
        <f ca="1"/>
        <v>7.9560664074086185E-3</v>
      </c>
      <c r="AQ61" s="34">
        <f ca="1"/>
        <v>-0.17429944788560806</v>
      </c>
    </row>
    <row r="62" spans="28:43" x14ac:dyDescent="0.25">
      <c r="AC62" s="31" t="s">
        <v>62</v>
      </c>
      <c r="AD62" s="34">
        <f ca="1"/>
        <v>0.99969387980711444</v>
      </c>
      <c r="AE62" s="34">
        <f ca="1"/>
        <v>0.96885350158746775</v>
      </c>
      <c r="AF62" s="34">
        <f ca="1"/>
        <v>0.93816716284862234</v>
      </c>
      <c r="AG62" s="34">
        <f ca="1"/>
        <v>0.90576671339684933</v>
      </c>
      <c r="AH62" s="34">
        <f ca="1"/>
        <v>0.87549567743931445</v>
      </c>
      <c r="AI62" s="34">
        <f ca="1"/>
        <v>0.8429870254537799</v>
      </c>
      <c r="AJ62" s="34">
        <f ca="1"/>
        <v>0.76796894577664943</v>
      </c>
      <c r="AK62" s="34">
        <f ca="1"/>
        <v>0.67823859733941894</v>
      </c>
      <c r="AL62" s="34">
        <f ca="1"/>
        <v>0.57328804394686428</v>
      </c>
      <c r="AM62" s="34">
        <f ca="1"/>
        <v>0.4529272156551104</v>
      </c>
      <c r="AN62" s="34">
        <f ca="1"/>
        <v>0.31705686107590353</v>
      </c>
      <c r="AO62" s="34">
        <f ca="1"/>
        <v>0.16561406820839583</v>
      </c>
      <c r="AP62" s="34">
        <f ca="1"/>
        <v>-1.4458529680439725E-3</v>
      </c>
      <c r="AQ62" s="34">
        <f ca="1"/>
        <v>-0.18415692925680041</v>
      </c>
    </row>
    <row r="75" spans="3:3" x14ac:dyDescent="0.25">
      <c r="C75" s="13"/>
    </row>
    <row r="80" spans="3:3" x14ac:dyDescent="0.25">
      <c r="C80" s="13"/>
    </row>
    <row r="87" spans="29:55" ht="15.75" thickBot="1" x14ac:dyDescent="0.3"/>
    <row r="88" spans="29:55" x14ac:dyDescent="0.25">
      <c r="AW88" s="49"/>
      <c r="AX88" s="50"/>
      <c r="AY88" s="50"/>
      <c r="AZ88" s="50"/>
      <c r="BA88" s="50"/>
      <c r="BB88" s="50"/>
      <c r="BC88" s="51"/>
    </row>
    <row r="89" spans="29:55" ht="13.5" customHeight="1" x14ac:dyDescent="0.25">
      <c r="AC89" s="1" t="s">
        <v>93</v>
      </c>
      <c r="AW89" s="52"/>
      <c r="AX89" s="85"/>
      <c r="AY89" s="85"/>
      <c r="AZ89" s="85"/>
      <c r="BA89" s="85"/>
      <c r="BC89" s="46"/>
    </row>
    <row r="90" spans="29:55" ht="15.75" customHeight="1" x14ac:dyDescent="0.35">
      <c r="AW90" s="52"/>
      <c r="AX90" s="85"/>
      <c r="AY90" s="58" t="s">
        <v>81</v>
      </c>
      <c r="AZ90" s="56" t="s">
        <v>16</v>
      </c>
      <c r="BA90" s="59" t="s">
        <v>82</v>
      </c>
      <c r="BB90" s="44"/>
      <c r="BC90" s="46"/>
    </row>
    <row r="91" spans="29:55" ht="12.75" customHeight="1" x14ac:dyDescent="0.25">
      <c r="AW91" s="52" t="s">
        <v>69</v>
      </c>
      <c r="AX91" s="85"/>
      <c r="AY91" s="45" t="s">
        <v>75</v>
      </c>
      <c r="AZ91" s="57">
        <v>0.125</v>
      </c>
      <c r="BA91" s="47">
        <f ca="1">U30</f>
        <v>3.2312389634780274E-2</v>
      </c>
      <c r="BB91" s="47"/>
      <c r="BC91" s="46"/>
    </row>
    <row r="92" spans="29:55" ht="12.75" customHeight="1" x14ac:dyDescent="0.25">
      <c r="AW92" s="53" t="s">
        <v>74</v>
      </c>
      <c r="AX92" s="86"/>
      <c r="AY92" s="45" t="s">
        <v>76</v>
      </c>
      <c r="AZ92" s="57">
        <v>1</v>
      </c>
      <c r="BA92" s="47">
        <f ca="1">U33</f>
        <v>0.24901737907815893</v>
      </c>
      <c r="BB92" s="47"/>
      <c r="BC92" s="46"/>
    </row>
    <row r="93" spans="29:55" ht="12.75" customHeight="1" x14ac:dyDescent="0.25">
      <c r="AW93" s="52" t="s">
        <v>70</v>
      </c>
      <c r="AX93" s="85"/>
      <c r="AY93" s="45" t="s">
        <v>77</v>
      </c>
      <c r="AZ93" s="57">
        <v>0.25</v>
      </c>
      <c r="BA93" s="47">
        <f ca="1">T30</f>
        <v>2.6365077686585942E-2</v>
      </c>
      <c r="BB93" s="47"/>
      <c r="BC93" s="46"/>
    </row>
    <row r="94" spans="29:55" ht="12.75" customHeight="1" x14ac:dyDescent="0.25">
      <c r="AW94" s="53" t="s">
        <v>71</v>
      </c>
      <c r="AX94" s="86"/>
      <c r="AY94" s="44" t="s">
        <v>78</v>
      </c>
      <c r="AZ94" s="57">
        <v>0.5</v>
      </c>
      <c r="BA94" s="47">
        <f ca="1">S30</f>
        <v>2.1603779483124048E-2</v>
      </c>
      <c r="BB94" s="47"/>
      <c r="BC94" s="46"/>
    </row>
    <row r="95" spans="29:55" ht="12.75" customHeight="1" x14ac:dyDescent="0.25">
      <c r="AW95" s="52" t="s">
        <v>72</v>
      </c>
      <c r="AX95" s="85"/>
      <c r="AY95" s="44" t="s">
        <v>79</v>
      </c>
      <c r="AZ95" s="57">
        <v>1</v>
      </c>
      <c r="BA95" s="47">
        <f ca="1">R30</f>
        <v>1.7798770399242731E-2</v>
      </c>
      <c r="BB95" s="47"/>
      <c r="BC95" s="46"/>
    </row>
    <row r="96" spans="29:55" ht="12.75" customHeight="1" x14ac:dyDescent="0.25">
      <c r="AW96" s="53" t="s">
        <v>73</v>
      </c>
      <c r="AX96" s="86"/>
      <c r="AY96" s="45" t="s">
        <v>80</v>
      </c>
      <c r="AZ96" s="57">
        <v>8</v>
      </c>
      <c r="BA96" s="47">
        <f ca="1">R33</f>
        <v>0.11773598268666641</v>
      </c>
      <c r="BB96" s="47"/>
      <c r="BC96" s="46"/>
    </row>
    <row r="97" spans="49:55" ht="15.75" thickBot="1" x14ac:dyDescent="0.3">
      <c r="AW97" s="54"/>
      <c r="AX97" s="48"/>
      <c r="AY97" s="48"/>
      <c r="AZ97" s="48"/>
      <c r="BA97" s="48"/>
      <c r="BB97" s="48"/>
      <c r="BC97" s="55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NOTES</vt:lpstr>
      <vt:lpstr>JHE2</vt:lpstr>
      <vt:lpstr>EM46</vt:lpstr>
      <vt:lpstr>'JHE2'!gravity</vt:lpstr>
      <vt:lpstr>gravity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Wahl, Tony L</dc:creator>
  <cp:lastModifiedBy>Wahl, Tony L</cp:lastModifiedBy>
  <dcterms:created xsi:type="dcterms:W3CDTF">2022-08-18T14:31:32Z</dcterms:created>
  <dcterms:modified xsi:type="dcterms:W3CDTF">2024-09-27T18:31:00Z</dcterms:modified>
</cp:coreProperties>
</file>