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oimspp-my.sharepoint.com/personal/rquattlebaum_usbr_gov/Documents/S&amp;T Projects/FY 2021 Settling Study/FY 21 21083 Settling Study/Settling Study Closeout/"/>
    </mc:Choice>
  </mc:AlternateContent>
  <xr:revisionPtr revIDLastSave="100" documentId="8_{6BD272E2-6B43-41E7-9AB3-03219C65ABE7}" xr6:coauthVersionLast="46" xr6:coauthVersionMax="46" xr10:uidLastSave="{17EFA5BD-5852-4D5D-8BE7-5F5350657522}"/>
  <bookViews>
    <workbookView xWindow="-120" yWindow="-120" windowWidth="25440" windowHeight="15390" xr2:uid="{56E82CDB-EFDE-497D-87CF-AE0DB735937A}"/>
  </bookViews>
  <sheets>
    <sheet name="DOCUMENTATION (Metadata)" sheetId="6" r:id="rId1"/>
    <sheet name="Sample ID's" sheetId="5" r:id="rId2"/>
    <sheet name="TSS Data" sheetId="1" r:id="rId3"/>
    <sheet name="Results" sheetId="2" r:id="rId4"/>
    <sheet name="Veliger Recovery percentages" sheetId="4" r:id="rId5"/>
    <sheet name="Charts etc" sheetId="3" r:id="rId6"/>
  </sheets>
  <definedNames>
    <definedName name="_xlnm.Print_Area" localSheetId="3">Results!$A$1:$G$135</definedName>
    <definedName name="_xlnm.Print_Area" localSheetId="1">'Sample ID''s'!$A$1:$C$24</definedName>
    <definedName name="_xlnm.Print_Area" localSheetId="2">'TSS Data'!$A$1:$W$24</definedName>
    <definedName name="_xlnm.Print_Titles" localSheetId="3">Results!$1:$1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5" i="4" l="1"/>
  <c r="B19" i="4"/>
  <c r="B13" i="4"/>
  <c r="B7" i="4"/>
  <c r="G30" i="4"/>
  <c r="H30" i="4" s="1"/>
  <c r="E30" i="4"/>
  <c r="G29" i="4"/>
  <c r="H29" i="4" s="1"/>
  <c r="E29" i="4"/>
  <c r="G28" i="4"/>
  <c r="H28" i="4" s="1"/>
  <c r="E28" i="4"/>
  <c r="G27" i="4"/>
  <c r="H27" i="4" s="1"/>
  <c r="E27" i="4"/>
  <c r="G26" i="4"/>
  <c r="H26" i="4" s="1"/>
  <c r="E26" i="4"/>
  <c r="G20" i="4"/>
  <c r="H20" i="4" s="1"/>
  <c r="E20" i="4"/>
  <c r="E25" i="4" s="1"/>
  <c r="G21" i="4"/>
  <c r="H21" i="4" s="1"/>
  <c r="E21" i="4"/>
  <c r="G23" i="4"/>
  <c r="H23" i="4" s="1"/>
  <c r="E23" i="4"/>
  <c r="G22" i="4"/>
  <c r="H22" i="4" s="1"/>
  <c r="E22" i="4"/>
  <c r="G18" i="4"/>
  <c r="H18" i="4" s="1"/>
  <c r="E18" i="4"/>
  <c r="G14" i="4"/>
  <c r="H14" i="4" s="1"/>
  <c r="E14" i="4"/>
  <c r="G16" i="4"/>
  <c r="H16" i="4" s="1"/>
  <c r="E16" i="4"/>
  <c r="G15" i="4"/>
  <c r="H15" i="4" s="1"/>
  <c r="E15" i="4"/>
  <c r="G17" i="4"/>
  <c r="H17" i="4" s="1"/>
  <c r="E17" i="4"/>
  <c r="G9" i="4"/>
  <c r="H9" i="4" s="1"/>
  <c r="E9" i="4"/>
  <c r="G12" i="4"/>
  <c r="H12" i="4" s="1"/>
  <c r="E12" i="4"/>
  <c r="G10" i="4"/>
  <c r="H10" i="4" s="1"/>
  <c r="E10" i="4"/>
  <c r="G8" i="4"/>
  <c r="H8" i="4" s="1"/>
  <c r="E8" i="4"/>
  <c r="E13" i="4" s="1"/>
  <c r="G11" i="4"/>
  <c r="H11" i="4" s="1"/>
  <c r="E11" i="4"/>
  <c r="G6" i="4"/>
  <c r="H6" i="4" s="1"/>
  <c r="E6" i="4"/>
  <c r="G2" i="4"/>
  <c r="H2" i="4" s="1"/>
  <c r="E2" i="4"/>
  <c r="G3" i="4"/>
  <c r="H3" i="4" s="1"/>
  <c r="E3" i="4"/>
  <c r="G4" i="4"/>
  <c r="H4" i="4" s="1"/>
  <c r="E4" i="4"/>
  <c r="G5" i="4"/>
  <c r="H5" i="4" s="1"/>
  <c r="E5" i="4"/>
  <c r="F104" i="2"/>
  <c r="F99" i="2"/>
  <c r="F94" i="2"/>
  <c r="F89" i="2"/>
  <c r="F79" i="2"/>
  <c r="F74" i="2"/>
  <c r="F70" i="2"/>
  <c r="F69" i="2"/>
  <c r="F64" i="2"/>
  <c r="F60" i="2"/>
  <c r="F59" i="2"/>
  <c r="F54" i="2"/>
  <c r="F49" i="2"/>
  <c r="F44" i="2"/>
  <c r="F39" i="2"/>
  <c r="G32" i="2"/>
  <c r="F34" i="2"/>
  <c r="F29" i="2"/>
  <c r="F24" i="2"/>
  <c r="F9" i="2"/>
  <c r="F14" i="2"/>
  <c r="F4" i="2"/>
  <c r="P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F123" i="2"/>
  <c r="G122" i="2"/>
  <c r="G117" i="2"/>
  <c r="F118" i="2"/>
  <c r="G112" i="2"/>
  <c r="F113" i="2"/>
  <c r="G107" i="2"/>
  <c r="F108" i="2"/>
  <c r="G102" i="2"/>
  <c r="F103" i="2"/>
  <c r="G97" i="2"/>
  <c r="F98" i="2"/>
  <c r="G92" i="2"/>
  <c r="F93" i="2"/>
  <c r="G87" i="2"/>
  <c r="F88" i="2"/>
  <c r="G77" i="2"/>
  <c r="F78" i="2"/>
  <c r="G72" i="2"/>
  <c r="F73" i="2"/>
  <c r="F68" i="2"/>
  <c r="G67" i="2"/>
  <c r="F63" i="2"/>
  <c r="G62" i="2"/>
  <c r="G57" i="2"/>
  <c r="F58" i="2"/>
  <c r="G52" i="2"/>
  <c r="F53" i="2"/>
  <c r="F48" i="2"/>
  <c r="F43" i="2"/>
  <c r="G42" i="2"/>
  <c r="F38" i="2"/>
  <c r="F33" i="2"/>
  <c r="F28" i="2"/>
  <c r="F23" i="2"/>
  <c r="F18" i="2"/>
  <c r="F13" i="2"/>
  <c r="F8" i="2"/>
  <c r="G47" i="2"/>
  <c r="G37" i="2"/>
  <c r="G27" i="2"/>
  <c r="G22" i="2"/>
  <c r="G17" i="2"/>
  <c r="G12" i="2"/>
  <c r="G7" i="2"/>
  <c r="H31" i="4" l="1"/>
  <c r="H19" i="4"/>
  <c r="H7" i="4"/>
  <c r="H13" i="4"/>
  <c r="H25" i="4"/>
  <c r="E7" i="4"/>
  <c r="E19" i="4"/>
  <c r="E31" i="4"/>
  <c r="F3" i="2"/>
  <c r="G2" i="2"/>
  <c r="M13" i="1" l="1"/>
  <c r="N13" i="1" s="1"/>
  <c r="H13" i="1"/>
  <c r="M15" i="1"/>
  <c r="N15" i="1" s="1"/>
  <c r="H15" i="1"/>
  <c r="M17" i="1"/>
  <c r="N17" i="1" s="1"/>
  <c r="H17" i="1"/>
  <c r="M2" i="1"/>
  <c r="N2" i="1" s="1"/>
  <c r="H2" i="1"/>
  <c r="M14" i="1"/>
  <c r="H14" i="1"/>
  <c r="M20" i="1"/>
  <c r="N20" i="1" s="1"/>
  <c r="H20" i="1"/>
  <c r="M16" i="1"/>
  <c r="N16" i="1" s="1"/>
  <c r="H16" i="1"/>
  <c r="M23" i="1"/>
  <c r="N23" i="1" s="1"/>
  <c r="H23" i="1"/>
  <c r="M19" i="1"/>
  <c r="N19" i="1" s="1"/>
  <c r="H19" i="1"/>
  <c r="M5" i="1"/>
  <c r="N5" i="1" s="1"/>
  <c r="H5" i="1"/>
  <c r="M12" i="1"/>
  <c r="N12" i="1" s="1"/>
  <c r="H12" i="1"/>
  <c r="N14" i="1"/>
  <c r="M11" i="1"/>
  <c r="N11" i="1" s="1"/>
  <c r="H11" i="1"/>
  <c r="M3" i="1"/>
  <c r="N3" i="1" s="1"/>
  <c r="H3" i="1"/>
  <c r="M4" i="1"/>
  <c r="N4" i="1" s="1"/>
  <c r="H4" i="1"/>
  <c r="M6" i="1"/>
  <c r="N6" i="1" s="1"/>
  <c r="H6" i="1"/>
  <c r="H21" i="1" l="1"/>
  <c r="M21" i="1"/>
  <c r="N21" i="1" s="1"/>
  <c r="M8" i="1"/>
  <c r="N8" i="1" s="1"/>
  <c r="M9" i="1"/>
  <c r="N9" i="1" s="1"/>
  <c r="H9" i="1"/>
  <c r="H8" i="1"/>
  <c r="M7" i="1" l="1"/>
  <c r="N7" i="1" s="1"/>
  <c r="M22" i="1"/>
  <c r="N22" i="1" s="1"/>
  <c r="M10" i="1"/>
  <c r="N10" i="1" s="1"/>
  <c r="M24" i="1"/>
  <c r="N24" i="1" s="1"/>
  <c r="M18" i="1"/>
  <c r="N18" i="1" s="1"/>
  <c r="L7" i="1"/>
  <c r="L18" i="1"/>
  <c r="J22" i="1"/>
  <c r="J10" i="1"/>
  <c r="J7" i="1"/>
  <c r="J24" i="1"/>
  <c r="J18" i="1"/>
  <c r="H22" i="1"/>
  <c r="H10" i="1"/>
  <c r="H7" i="1"/>
  <c r="H24" i="1"/>
  <c r="H1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tc={8F8F8E2C-FF4E-42B4-9FDB-D0B25E537E25}</author>
    <author>tc={8394CD46-E7D8-4E90-943A-89EDBA1DC6F0}</author>
  </authors>
  <commentList>
    <comment ref="A7" authorId="0" shapeId="0" xr:uid="{8F8F8E2C-FF4E-42B4-9FDB-D0B25E537E25}">
      <text>
        <t>[Threaded comment]
Your version of Excel allows you to read this threaded comment; however, any edits to it will get removed if the file is opened in a newer version of Excel. Learn more: https://go.microsoft.com/fwlink/?linkid=870924
Comment:
    Original TSS test (bad dessicant, bad data)</t>
      </text>
    </comment>
    <comment ref="A21" authorId="1" shapeId="0" xr:uid="{8394CD46-E7D8-4E90-943A-89EDBA1DC6F0}">
      <text>
        <t>[Threaded comment]
Your version of Excel allows you to read this threaded comment; however, any edits to it will get removed if the file is opened in a newer version of Excel. Learn more: https://go.microsoft.com/fwlink/?linkid=870924
Comment:
    used an average of 3 different measurements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tc={8E7F7416-956C-42F1-A5D2-F61CE9945B72}</author>
    <author>tc={29DCD86B-4E86-41A9-9230-FEFBD6AF211C}</author>
    <author>tc={C190D8BA-D77F-419A-9B25-56F8704E4DF9}</author>
  </authors>
  <commentList>
    <comment ref="J1" authorId="0" shapeId="0" xr:uid="{8E7F7416-956C-42F1-A5D2-F61CE9945B72}">
      <text>
        <t>[Threaded comment]
Your version of Excel allows you to read this threaded comment; however, any edits to it will get removed if the file is opened in a newer version of Excel. Learn more: https://go.microsoft.com/fwlink/?linkid=870924
Comment:
    Samples sat in desiccant overnight. Desiccant beads are expired. Samples gained weight overnight. 
Will re-dry and re-weigh 2 samples that are too far out of range.</t>
      </text>
    </comment>
    <comment ref="A7" authorId="1" shapeId="0" xr:uid="{29DCD86B-4E86-41A9-9230-FEFBD6AF211C}">
      <text>
        <t>[Threaded comment]
Your version of Excel allows you to read this threaded comment; however, any edits to it will get removed if the file is opened in a newer version of Excel. Learn more: https://go.microsoft.com/fwlink/?linkid=870924
Comment:
    Original TSS test (bad dessicant, bad data)</t>
      </text>
    </comment>
    <comment ref="A21" authorId="2" shapeId="0" xr:uid="{C190D8BA-D77F-419A-9B25-56F8704E4DF9}">
      <text>
        <t>[Threaded comment]
Your version of Excel allows you to read this threaded comment; however, any edits to it will get removed if the file is opened in a newer version of Excel. Learn more: https://go.microsoft.com/fwlink/?linkid=870924
Comment:
    used an average of 3 different measurements</t>
      </text>
    </comment>
  </commentList>
</comments>
</file>

<file path=xl/sharedStrings.xml><?xml version="1.0" encoding="utf-8"?>
<sst xmlns="http://schemas.openxmlformats.org/spreadsheetml/2006/main" count="555" uniqueCount="112">
  <si>
    <t>Sample</t>
  </si>
  <si>
    <t>NA</t>
  </si>
  <si>
    <t>Volume Filtered (ml)</t>
  </si>
  <si>
    <t>Dry Filter (g)</t>
  </si>
  <si>
    <t xml:space="preserve"> </t>
  </si>
  <si>
    <t>Debris (mg)</t>
  </si>
  <si>
    <t>mg/liter</t>
  </si>
  <si>
    <t>g/l</t>
  </si>
  <si>
    <t>TSS in g/300ml</t>
  </si>
  <si>
    <t>Dry Filter (mg)</t>
  </si>
  <si>
    <t>SS #</t>
  </si>
  <si>
    <t>A4 RR</t>
  </si>
  <si>
    <t>A1 XX</t>
  </si>
  <si>
    <t>A2 QQ</t>
  </si>
  <si>
    <t>A3 ZZ</t>
  </si>
  <si>
    <t>A5 YY</t>
  </si>
  <si>
    <t>B1 XX</t>
  </si>
  <si>
    <t>B2 RR</t>
  </si>
  <si>
    <t>B3 QQ</t>
  </si>
  <si>
    <t>B4 YY</t>
  </si>
  <si>
    <t>B5 ZZ</t>
  </si>
  <si>
    <t>C4 RR</t>
  </si>
  <si>
    <t>C2 ZZ</t>
  </si>
  <si>
    <t>C3 QQ</t>
  </si>
  <si>
    <t>C1 XX</t>
  </si>
  <si>
    <t>C5 YY</t>
  </si>
  <si>
    <t>D5 RR</t>
  </si>
  <si>
    <t>D4 ZZ</t>
  </si>
  <si>
    <t>D1 QQ</t>
  </si>
  <si>
    <t>D3 XX</t>
  </si>
  <si>
    <t>D2 YY</t>
  </si>
  <si>
    <t>Contents</t>
  </si>
  <si>
    <t>stringy algae</t>
  </si>
  <si>
    <t>zooplankton</t>
  </si>
  <si>
    <t>zooplankton, algae</t>
  </si>
  <si>
    <t>zooplankton, algae, very oily</t>
  </si>
  <si>
    <t>light zooplankton, algae</t>
  </si>
  <si>
    <t>light zooplankton</t>
  </si>
  <si>
    <t>dense zooplankton</t>
  </si>
  <si>
    <t>zooplankton, algae (stringy, oily)</t>
  </si>
  <si>
    <t>zooplankton, (maybe) algae</t>
  </si>
  <si>
    <t>N/A</t>
  </si>
  <si>
    <t>CN 1XX</t>
  </si>
  <si>
    <t>CN2 ZZ</t>
  </si>
  <si>
    <t>CN3 YY</t>
  </si>
  <si>
    <t>CN4 RR</t>
  </si>
  <si>
    <t>CN5QQ</t>
  </si>
  <si>
    <t>1st 15</t>
  </si>
  <si>
    <t>2nd 15</t>
  </si>
  <si>
    <t>Rinse Water</t>
  </si>
  <si>
    <t>D2 YY**</t>
  </si>
  <si>
    <t>**Sample not viable</t>
  </si>
  <si>
    <t>RR</t>
  </si>
  <si>
    <t>ZZ</t>
  </si>
  <si>
    <t>QQ</t>
  </si>
  <si>
    <t>XX</t>
  </si>
  <si>
    <t>YY</t>
  </si>
  <si>
    <t>Recovered Veligers</t>
  </si>
  <si>
    <t>Total % Recovery</t>
  </si>
  <si>
    <t>Veligers spiked</t>
  </si>
  <si>
    <t>DI water, buffer, ethanol</t>
  </si>
  <si>
    <t>Sample ID</t>
  </si>
  <si>
    <t>TSS g/300mL</t>
  </si>
  <si>
    <t>Veligers Spiked</t>
  </si>
  <si>
    <t>Total Veligers Recovered</t>
  </si>
  <si>
    <t>Percent of Veliger Recovery</t>
  </si>
  <si>
    <t>% Recovery in each 15ml</t>
  </si>
  <si>
    <t>Percent of total Veliger Recovery</t>
  </si>
  <si>
    <t>Veligers Recovered  1st 15 mL</t>
  </si>
  <si>
    <t>% Recovery 1st 15 mL</t>
  </si>
  <si>
    <t xml:space="preserve">Veligers Rec'd 2nd 15 mL and Rinse </t>
  </si>
  <si>
    <t>AVERAGES</t>
  </si>
  <si>
    <t xml:space="preserve">**Sample D2YY was found not to be viable due to the quality of the algae present. It was not feasible to look through. </t>
  </si>
  <si>
    <r>
      <t>D2 YY</t>
    </r>
    <r>
      <rPr>
        <b/>
        <sz val="10"/>
        <color rgb="FF000000"/>
        <rFont val="Segoe UI"/>
        <family val="2"/>
      </rPr>
      <t>**</t>
    </r>
  </si>
  <si>
    <r>
      <rPr>
        <b/>
        <sz val="10"/>
        <color rgb="FF000000"/>
        <rFont val="Segoe UI"/>
        <family val="2"/>
      </rPr>
      <t>**</t>
    </r>
    <r>
      <rPr>
        <sz val="10"/>
        <color rgb="FF000000"/>
        <rFont val="Segoe UI"/>
        <family val="2"/>
      </rPr>
      <t xml:space="preserve">Sample D2YY was found not to be viable due to the quality of the algae present. It was not feasible to look through. </t>
    </r>
  </si>
  <si>
    <t>Settling Study Sample ID</t>
  </si>
  <si>
    <t>Sample Contents</t>
  </si>
  <si>
    <t>Eco Lab  Sample ID</t>
  </si>
  <si>
    <t>Bureau of Reclamation</t>
  </si>
  <si>
    <t xml:space="preserve">Link to RISE Catalog item: </t>
  </si>
  <si>
    <t>Purpose of Dataset:</t>
  </si>
  <si>
    <t>QA/QC Performed</t>
  </si>
  <si>
    <t xml:space="preserve">Non-Reclamation Data Reference: </t>
  </si>
  <si>
    <t>Report Date:</t>
  </si>
  <si>
    <t xml:space="preserve">Title: </t>
  </si>
  <si>
    <t>Author:</t>
  </si>
  <si>
    <t>Publisher:</t>
  </si>
  <si>
    <t>Rheannan Quattlebaum</t>
  </si>
  <si>
    <t>Mail Code:</t>
  </si>
  <si>
    <t>86-68560</t>
  </si>
  <si>
    <t>Data is supplemental to Bureau of Reclamation's Science &amp; Technology Program final report for project 21083, Assessment of Laboratory Methods to Investigate Dreissenid Mussel Veliger Settling in Imhoff Cones Through Dense Organic Material</t>
  </si>
  <si>
    <t>TSS</t>
  </si>
  <si>
    <t xml:space="preserve">Total suspended solids </t>
  </si>
  <si>
    <t xml:space="preserve">Definitions/Acronyms: </t>
  </si>
  <si>
    <t>Data set for Final Report No. ST-2021-21083-01</t>
  </si>
  <si>
    <t>Eco Lab</t>
  </si>
  <si>
    <t>Bureau of Reclamation's Ecological Research Laboratory</t>
  </si>
  <si>
    <t>Weight: Filter &amp; Debris #1 (g)</t>
  </si>
  <si>
    <t>Weight: Filter &amp; Debris #4 (g)</t>
  </si>
  <si>
    <t>Weight: Filter &amp; Debris #2 (g)</t>
  </si>
  <si>
    <t>Weight: Debris+Filter #2 (mg)</t>
  </si>
  <si>
    <t>Difference in Weight between 1 &amp; 2 (g)</t>
  </si>
  <si>
    <t>Weight: Filter &amp; Debris #3 (g)</t>
  </si>
  <si>
    <t>Difference in Weight between 2 &amp; 3 (g)</t>
  </si>
  <si>
    <t>Difference in Weight between 3 &amp;  4 (g)</t>
  </si>
  <si>
    <t>Veliger</t>
  </si>
  <si>
    <t>Larval stage of dreissenid (quagga/zebra) mussel</t>
  </si>
  <si>
    <t>Label</t>
  </si>
  <si>
    <t>Number of Veligers</t>
  </si>
  <si>
    <t>Percent of Veliger Recovery in 1st 15 mL</t>
  </si>
  <si>
    <t>https://data.usbr.gov/catalog/4613</t>
  </si>
  <si>
    <t xml:space="preserve">This data was edited to include ONLY information for samples that were used in this study. TSS was measured for other samples that were not used for varying reasons.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</si>
</sst>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0.0"/>
    <numFmt numFmtId="166" formatCode="0.000"/>
    <numFmt numFmtId="167" formatCode="0.0%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1"/>
      <name val="Segoe UI"/>
      <family val="2"/>
    </font>
    <font>
      <b/>
      <sz val="11"/>
      <color theme="1"/>
      <name val="Segoe UI"/>
      <family val="2"/>
    </font>
    <font>
      <b/>
      <sz val="10"/>
      <color theme="1"/>
      <name val="Segoe UI"/>
      <family val="2"/>
    </font>
    <font>
      <b/>
      <u/>
      <sz val="10"/>
      <color theme="1"/>
      <name val="Segoe UI"/>
      <family val="2"/>
    </font>
    <font>
      <sz val="10"/>
      <color rgb="FF000000"/>
      <name val="Segoe UI"/>
      <family val="2"/>
    </font>
    <font>
      <b/>
      <sz val="10"/>
      <color rgb="FF000000"/>
      <name val="Segoe UI"/>
      <family val="2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6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14" fillId="0" borderId="0" applyNumberFormat="0" applyFill="0" applyBorder="0" applyAlignment="0" applyProtection="0"/>
  </cellStyleXfs>
  <cellXfs count="163">
    <xf numFmtId="0" fontId="0" fillId="0" borderId="0" xfId="0"/>
    <xf numFmtId="0" fontId="1" fillId="0" borderId="0" xfId="0" applyFont="1"/>
    <xf numFmtId="0" fontId="1" fillId="0" borderId="1" xfId="0" applyFont="1" applyBorder="1"/>
    <xf numFmtId="164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164" fontId="1" fillId="0" borderId="0" xfId="0" applyNumberFormat="1" applyFont="1" applyFill="1" applyAlignment="1">
      <alignment horizontal="center"/>
    </xf>
    <xf numFmtId="164" fontId="1" fillId="0" borderId="0" xfId="0" applyNumberFormat="1" applyFont="1"/>
    <xf numFmtId="164" fontId="1" fillId="0" borderId="1" xfId="0" applyNumberFormat="1" applyFont="1" applyBorder="1"/>
    <xf numFmtId="164" fontId="3" fillId="3" borderId="1" xfId="2" applyNumberFormat="1" applyBorder="1" applyAlignment="1">
      <alignment horizontal="center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center" wrapText="1"/>
    </xf>
    <xf numFmtId="164" fontId="1" fillId="4" borderId="1" xfId="0" applyNumberFormat="1" applyFont="1" applyFill="1" applyBorder="1" applyAlignment="1">
      <alignment horizontal="center" wrapText="1"/>
    </xf>
    <xf numFmtId="0" fontId="1" fillId="4" borderId="1" xfId="0" applyFont="1" applyFill="1" applyBorder="1" applyAlignment="1">
      <alignment wrapText="1"/>
    </xf>
    <xf numFmtId="0" fontId="1" fillId="0" borderId="0" xfId="0" applyFont="1" applyAlignment="1">
      <alignment wrapText="1"/>
    </xf>
    <xf numFmtId="166" fontId="1" fillId="0" borderId="0" xfId="0" applyNumberFormat="1" applyFont="1"/>
    <xf numFmtId="166" fontId="1" fillId="0" borderId="1" xfId="0" applyNumberFormat="1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164" fontId="0" fillId="0" borderId="1" xfId="0" applyNumberFormat="1" applyFont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0" fontId="0" fillId="0" borderId="1" xfId="0" applyFont="1" applyBorder="1"/>
    <xf numFmtId="165" fontId="0" fillId="0" borderId="1" xfId="0" applyNumberFormat="1" applyFont="1" applyBorder="1"/>
    <xf numFmtId="166" fontId="0" fillId="0" borderId="1" xfId="0" applyNumberFormat="1" applyFont="1" applyBorder="1"/>
    <xf numFmtId="164" fontId="0" fillId="0" borderId="1" xfId="0" applyNumberFormat="1" applyFont="1" applyBorder="1"/>
    <xf numFmtId="0" fontId="3" fillId="3" borderId="1" xfId="2" applyBorder="1"/>
    <xf numFmtId="164" fontId="3" fillId="3" borderId="1" xfId="2" applyNumberFormat="1" applyBorder="1"/>
    <xf numFmtId="165" fontId="3" fillId="3" borderId="1" xfId="2" applyNumberFormat="1" applyBorder="1"/>
    <xf numFmtId="166" fontId="3" fillId="3" borderId="1" xfId="2" applyNumberFormat="1" applyBorder="1"/>
    <xf numFmtId="0" fontId="0" fillId="0" borderId="1" xfId="0" applyFont="1" applyFill="1" applyBorder="1"/>
    <xf numFmtId="165" fontId="0" fillId="0" borderId="1" xfId="0" applyNumberFormat="1" applyFont="1" applyFill="1" applyBorder="1"/>
    <xf numFmtId="166" fontId="0" fillId="0" borderId="1" xfId="0" applyNumberFormat="1" applyFont="1" applyFill="1" applyBorder="1"/>
    <xf numFmtId="164" fontId="1" fillId="0" borderId="1" xfId="0" applyNumberFormat="1" applyFont="1" applyFill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164" fontId="0" fillId="5" borderId="1" xfId="0" applyNumberFormat="1" applyFont="1" applyFill="1" applyBorder="1" applyAlignment="1">
      <alignment horizontal="center"/>
    </xf>
    <xf numFmtId="0" fontId="0" fillId="5" borderId="1" xfId="0" applyFont="1" applyFill="1" applyBorder="1"/>
    <xf numFmtId="165" fontId="0" fillId="5" borderId="1" xfId="0" applyNumberFormat="1" applyFont="1" applyFill="1" applyBorder="1"/>
    <xf numFmtId="166" fontId="0" fillId="5" borderId="1" xfId="0" applyNumberFormat="1" applyFont="1" applyFill="1" applyBorder="1"/>
    <xf numFmtId="164" fontId="1" fillId="5" borderId="1" xfId="0" applyNumberFormat="1" applyFont="1" applyFill="1" applyBorder="1"/>
    <xf numFmtId="165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0" fontId="0" fillId="0" borderId="1" xfId="0" applyBorder="1"/>
    <xf numFmtId="166" fontId="1" fillId="0" borderId="1" xfId="0" applyNumberFormat="1" applyFont="1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0" fillId="0" borderId="0" xfId="0" applyAlignment="1"/>
    <xf numFmtId="9" fontId="0" fillId="0" borderId="2" xfId="0" applyNumberFormat="1" applyBorder="1" applyAlignment="1"/>
    <xf numFmtId="0" fontId="0" fillId="0" borderId="1" xfId="0" applyBorder="1" applyAlignment="1"/>
    <xf numFmtId="0" fontId="0" fillId="0" borderId="1" xfId="0" applyFill="1" applyBorder="1" applyAlignment="1"/>
    <xf numFmtId="9" fontId="0" fillId="0" borderId="2" xfId="0" applyNumberFormat="1" applyFill="1" applyBorder="1" applyAlignment="1"/>
    <xf numFmtId="0" fontId="4" fillId="0" borderId="0" xfId="0" applyFont="1" applyAlignment="1"/>
    <xf numFmtId="9" fontId="0" fillId="0" borderId="0" xfId="0" applyNumberFormat="1" applyBorder="1" applyAlignment="1"/>
    <xf numFmtId="0" fontId="0" fillId="0" borderId="0" xfId="0" applyAlignment="1">
      <alignment wrapText="1"/>
    </xf>
    <xf numFmtId="0" fontId="1" fillId="4" borderId="1" xfId="0" applyFont="1" applyFill="1" applyBorder="1" applyAlignment="1">
      <alignment horizontal="center" wrapText="1"/>
    </xf>
    <xf numFmtId="9" fontId="1" fillId="4" borderId="2" xfId="0" applyNumberFormat="1" applyFont="1" applyFill="1" applyBorder="1" applyAlignment="1">
      <alignment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9" fontId="5" fillId="0" borderId="6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164" fontId="0" fillId="0" borderId="0" xfId="0" applyNumberFormat="1"/>
    <xf numFmtId="167" fontId="1" fillId="4" borderId="1" xfId="0" applyNumberFormat="1" applyFont="1" applyFill="1" applyBorder="1" applyAlignment="1">
      <alignment wrapText="1"/>
    </xf>
    <xf numFmtId="167" fontId="0" fillId="0" borderId="1" xfId="0" applyNumberFormat="1" applyBorder="1" applyAlignment="1"/>
    <xf numFmtId="167" fontId="0" fillId="0" borderId="0" xfId="0" applyNumberFormat="1" applyBorder="1" applyAlignment="1"/>
    <xf numFmtId="0" fontId="7" fillId="0" borderId="8" xfId="0" applyFont="1" applyBorder="1" applyAlignment="1">
      <alignment vertical="center" wrapText="1"/>
    </xf>
    <xf numFmtId="9" fontId="7" fillId="0" borderId="8" xfId="0" applyNumberFormat="1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5" fillId="0" borderId="9" xfId="0" applyNumberFormat="1" applyFont="1" applyBorder="1" applyAlignment="1">
      <alignment vertical="center" wrapText="1"/>
    </xf>
    <xf numFmtId="9" fontId="5" fillId="0" borderId="10" xfId="0" applyNumberFormat="1" applyFont="1" applyBorder="1" applyAlignment="1">
      <alignment horizontal="center" vertical="center" wrapText="1"/>
    </xf>
    <xf numFmtId="164" fontId="5" fillId="0" borderId="11" xfId="0" applyNumberFormat="1" applyFont="1" applyBorder="1" applyAlignment="1">
      <alignment vertical="center" wrapText="1"/>
    </xf>
    <xf numFmtId="0" fontId="9" fillId="6" borderId="3" xfId="0" applyFont="1" applyFill="1" applyBorder="1" applyAlignment="1">
      <alignment vertical="center" wrapText="1"/>
    </xf>
    <xf numFmtId="0" fontId="9" fillId="6" borderId="5" xfId="0" applyFont="1" applyFill="1" applyBorder="1" applyAlignment="1">
      <alignment vertical="center" wrapText="1"/>
    </xf>
    <xf numFmtId="9" fontId="9" fillId="6" borderId="4" xfId="0" applyNumberFormat="1" applyFont="1" applyFill="1" applyBorder="1" applyAlignment="1">
      <alignment vertical="center" wrapText="1"/>
    </xf>
    <xf numFmtId="0" fontId="9" fillId="5" borderId="5" xfId="0" applyFont="1" applyFill="1" applyBorder="1" applyAlignment="1">
      <alignment vertical="center" wrapText="1"/>
    </xf>
    <xf numFmtId="9" fontId="9" fillId="5" borderId="4" xfId="0" applyNumberFormat="1" applyFont="1" applyFill="1" applyBorder="1" applyAlignment="1">
      <alignment vertical="center" wrapText="1"/>
    </xf>
    <xf numFmtId="0" fontId="9" fillId="7" borderId="5" xfId="0" applyFont="1" applyFill="1" applyBorder="1" applyAlignment="1">
      <alignment vertical="center" wrapText="1"/>
    </xf>
    <xf numFmtId="9" fontId="9" fillId="7" borderId="4" xfId="0" applyNumberFormat="1" applyFont="1" applyFill="1" applyBorder="1" applyAlignment="1">
      <alignment vertical="center" wrapText="1"/>
    </xf>
    <xf numFmtId="0" fontId="9" fillId="8" borderId="5" xfId="0" applyFont="1" applyFill="1" applyBorder="1" applyAlignment="1">
      <alignment vertical="center" wrapText="1"/>
    </xf>
    <xf numFmtId="9" fontId="9" fillId="8" borderId="4" xfId="0" applyNumberFormat="1" applyFont="1" applyFill="1" applyBorder="1" applyAlignment="1">
      <alignment vertical="center" wrapText="1"/>
    </xf>
    <xf numFmtId="0" fontId="9" fillId="9" borderId="5" xfId="0" applyFont="1" applyFill="1" applyBorder="1" applyAlignment="1">
      <alignment vertical="center" wrapText="1"/>
    </xf>
    <xf numFmtId="9" fontId="9" fillId="9" borderId="4" xfId="0" applyNumberFormat="1" applyFont="1" applyFill="1" applyBorder="1" applyAlignment="1">
      <alignment vertical="center" wrapText="1"/>
    </xf>
    <xf numFmtId="0" fontId="10" fillId="0" borderId="0" xfId="0" applyFont="1" applyFill="1" applyBorder="1" applyAlignment="1">
      <alignment wrapText="1"/>
    </xf>
    <xf numFmtId="0" fontId="1" fillId="0" borderId="0" xfId="0" applyFont="1" applyAlignment="1"/>
    <xf numFmtId="9" fontId="9" fillId="10" borderId="4" xfId="0" applyNumberFormat="1" applyFont="1" applyFill="1" applyBorder="1" applyAlignment="1">
      <alignment vertical="center" wrapText="1"/>
    </xf>
    <xf numFmtId="166" fontId="8" fillId="0" borderId="7" xfId="0" applyNumberFormat="1" applyFont="1" applyBorder="1" applyAlignment="1">
      <alignment vertical="center" wrapText="1"/>
    </xf>
    <xf numFmtId="166" fontId="9" fillId="0" borderId="4" xfId="0" applyNumberFormat="1" applyFont="1" applyBorder="1" applyAlignment="1">
      <alignment vertical="center" wrapText="1"/>
    </xf>
    <xf numFmtId="166" fontId="9" fillId="0" borderId="6" xfId="0" applyNumberFormat="1" applyFont="1" applyBorder="1" applyAlignment="1">
      <alignment vertical="center" wrapText="1"/>
    </xf>
    <xf numFmtId="166" fontId="0" fillId="0" borderId="0" xfId="0" applyNumberFormat="1"/>
    <xf numFmtId="166" fontId="10" fillId="0" borderId="0" xfId="0" applyNumberFormat="1" applyFont="1" applyFill="1" applyBorder="1" applyAlignment="1">
      <alignment wrapText="1"/>
    </xf>
    <xf numFmtId="0" fontId="10" fillId="6" borderId="5" xfId="0" applyFont="1" applyFill="1" applyBorder="1" applyAlignment="1">
      <alignment vertical="center" wrapText="1"/>
    </xf>
    <xf numFmtId="9" fontId="10" fillId="6" borderId="4" xfId="0" applyNumberFormat="1" applyFont="1" applyFill="1" applyBorder="1" applyAlignment="1">
      <alignment vertical="center" wrapText="1"/>
    </xf>
    <xf numFmtId="0" fontId="10" fillId="5" borderId="5" xfId="0" applyFont="1" applyFill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9" fontId="10" fillId="5" borderId="4" xfId="0" applyNumberFormat="1" applyFont="1" applyFill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10" fillId="7" borderId="5" xfId="0" applyFont="1" applyFill="1" applyBorder="1" applyAlignment="1">
      <alignment vertical="center" wrapText="1"/>
    </xf>
    <xf numFmtId="9" fontId="10" fillId="7" borderId="4" xfId="0" applyNumberFormat="1" applyFont="1" applyFill="1" applyBorder="1" applyAlignment="1">
      <alignment vertical="center" wrapText="1"/>
    </xf>
    <xf numFmtId="0" fontId="10" fillId="8" borderId="5" xfId="0" applyFont="1" applyFill="1" applyBorder="1" applyAlignment="1">
      <alignment vertical="center" wrapText="1"/>
    </xf>
    <xf numFmtId="9" fontId="10" fillId="8" borderId="4" xfId="0" applyNumberFormat="1" applyFont="1" applyFill="1" applyBorder="1" applyAlignment="1">
      <alignment vertical="center" wrapText="1"/>
    </xf>
    <xf numFmtId="9" fontId="10" fillId="10" borderId="4" xfId="0" applyNumberFormat="1" applyFont="1" applyFill="1" applyBorder="1" applyAlignment="1">
      <alignment vertical="center" wrapText="1"/>
    </xf>
    <xf numFmtId="0" fontId="10" fillId="9" borderId="5" xfId="0" applyFont="1" applyFill="1" applyBorder="1" applyAlignment="1">
      <alignment vertical="center" wrapText="1"/>
    </xf>
    <xf numFmtId="9" fontId="10" fillId="9" borderId="4" xfId="0" applyNumberFormat="1" applyFont="1" applyFill="1" applyBorder="1" applyAlignment="1">
      <alignment vertical="center" wrapText="1"/>
    </xf>
    <xf numFmtId="0" fontId="10" fillId="0" borderId="5" xfId="0" applyFont="1" applyFill="1" applyBorder="1" applyAlignment="1">
      <alignment vertical="center" wrapText="1"/>
    </xf>
    <xf numFmtId="0" fontId="0" fillId="0" borderId="0" xfId="0" applyAlignment="1">
      <alignment horizontal="left"/>
    </xf>
    <xf numFmtId="0" fontId="0" fillId="0" borderId="12" xfId="0" applyBorder="1"/>
    <xf numFmtId="166" fontId="0" fillId="0" borderId="13" xfId="0" applyNumberFormat="1" applyBorder="1"/>
    <xf numFmtId="0" fontId="0" fillId="0" borderId="13" xfId="0" applyBorder="1"/>
    <xf numFmtId="0" fontId="0" fillId="0" borderId="8" xfId="0" applyBorder="1"/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14" fontId="0" fillId="0" borderId="0" xfId="0" applyNumberForma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/>
    <xf numFmtId="0" fontId="3" fillId="0" borderId="1" xfId="2" applyFill="1" applyBorder="1"/>
    <xf numFmtId="0" fontId="12" fillId="0" borderId="1" xfId="0" applyFont="1" applyFill="1" applyBorder="1" applyAlignment="1">
      <alignment wrapText="1"/>
    </xf>
    <xf numFmtId="165" fontId="12" fillId="0" borderId="1" xfId="0" applyNumberFormat="1" applyFont="1" applyFill="1" applyBorder="1" applyAlignment="1">
      <alignment horizontal="center" wrapText="1"/>
    </xf>
    <xf numFmtId="164" fontId="12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/>
    <xf numFmtId="165" fontId="13" fillId="0" borderId="1" xfId="0" applyNumberFormat="1" applyFont="1" applyFill="1" applyBorder="1" applyAlignment="1">
      <alignment horizontal="center"/>
    </xf>
    <xf numFmtId="164" fontId="13" fillId="0" borderId="1" xfId="0" applyNumberFormat="1" applyFont="1" applyFill="1" applyBorder="1" applyAlignment="1">
      <alignment horizontal="center"/>
    </xf>
    <xf numFmtId="164" fontId="13" fillId="0" borderId="1" xfId="1" applyNumberFormat="1" applyFont="1" applyFill="1" applyBorder="1" applyAlignment="1">
      <alignment horizontal="center"/>
    </xf>
    <xf numFmtId="0" fontId="13" fillId="0" borderId="1" xfId="2" applyFont="1" applyFill="1" applyBorder="1"/>
    <xf numFmtId="165" fontId="13" fillId="0" borderId="1" xfId="2" applyNumberFormat="1" applyFont="1" applyFill="1" applyBorder="1" applyAlignment="1">
      <alignment horizontal="center"/>
    </xf>
    <xf numFmtId="164" fontId="13" fillId="0" borderId="1" xfId="2" applyNumberFormat="1" applyFont="1" applyFill="1" applyBorder="1" applyAlignment="1">
      <alignment horizontal="center"/>
    </xf>
    <xf numFmtId="165" fontId="12" fillId="0" borderId="1" xfId="0" applyNumberFormat="1" applyFont="1" applyFill="1" applyBorder="1" applyAlignment="1">
      <alignment horizontal="center"/>
    </xf>
    <xf numFmtId="164" fontId="12" fillId="0" borderId="1" xfId="0" applyNumberFormat="1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wrapText="1"/>
    </xf>
    <xf numFmtId="0" fontId="11" fillId="0" borderId="0" xfId="0" applyFont="1" applyAlignment="1"/>
    <xf numFmtId="0" fontId="0" fillId="0" borderId="0" xfId="0" applyFont="1" applyAlignment="1">
      <alignment wrapText="1"/>
    </xf>
    <xf numFmtId="0" fontId="0" fillId="0" borderId="1" xfId="0" applyFont="1" applyBorder="1" applyAlignment="1"/>
    <xf numFmtId="0" fontId="0" fillId="0" borderId="0" xfId="0" applyFont="1" applyAlignment="1"/>
    <xf numFmtId="0" fontId="0" fillId="0" borderId="16" xfId="0" applyFont="1" applyBorder="1" applyAlignment="1">
      <alignment horizontal="center"/>
    </xf>
    <xf numFmtId="0" fontId="0" fillId="0" borderId="16" xfId="0" applyFont="1" applyBorder="1" applyAlignment="1">
      <alignment wrapText="1"/>
    </xf>
    <xf numFmtId="0" fontId="1" fillId="0" borderId="17" xfId="0" applyFont="1" applyFill="1" applyBorder="1" applyAlignment="1">
      <alignment horizontal="center" wrapText="1"/>
    </xf>
    <xf numFmtId="0" fontId="1" fillId="0" borderId="18" xfId="0" applyFont="1" applyFill="1" applyBorder="1" applyAlignment="1">
      <alignment horizontal="center" wrapText="1"/>
    </xf>
    <xf numFmtId="0" fontId="1" fillId="0" borderId="19" xfId="0" applyFont="1" applyFill="1" applyBorder="1" applyAlignment="1">
      <alignment horizontal="center" wrapText="1"/>
    </xf>
    <xf numFmtId="0" fontId="5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6" xfId="0" applyFont="1" applyBorder="1" applyAlignment="1">
      <alignment vertical="center" wrapText="1"/>
    </xf>
    <xf numFmtId="164" fontId="5" fillId="0" borderId="16" xfId="0" applyNumberFormat="1" applyFont="1" applyBorder="1" applyAlignment="1">
      <alignment vertical="center" wrapText="1"/>
    </xf>
    <xf numFmtId="9" fontId="5" fillId="0" borderId="16" xfId="0" applyNumberFormat="1" applyFont="1" applyBorder="1" applyAlignment="1">
      <alignment horizontal="center" vertical="center" wrapText="1"/>
    </xf>
    <xf numFmtId="0" fontId="12" fillId="0" borderId="0" xfId="0" applyFont="1" applyAlignment="1"/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wrapText="1"/>
    </xf>
    <xf numFmtId="0" fontId="9" fillId="0" borderId="13" xfId="0" applyFont="1" applyFill="1" applyBorder="1" applyAlignment="1">
      <alignment vertical="center" wrapText="1"/>
    </xf>
    <xf numFmtId="0" fontId="9" fillId="0" borderId="12" xfId="0" applyFont="1" applyFill="1" applyBorder="1" applyAlignment="1">
      <alignment vertical="center"/>
    </xf>
    <xf numFmtId="0" fontId="9" fillId="0" borderId="14" xfId="0" applyFont="1" applyFill="1" applyBorder="1" applyAlignment="1">
      <alignment horizontal="left" vertical="top"/>
    </xf>
    <xf numFmtId="0" fontId="9" fillId="0" borderId="15" xfId="0" applyFont="1" applyFill="1" applyBorder="1" applyAlignment="1">
      <alignment horizontal="left" vertical="top"/>
    </xf>
    <xf numFmtId="0" fontId="9" fillId="0" borderId="4" xfId="0" applyFont="1" applyFill="1" applyBorder="1" applyAlignment="1">
      <alignment horizontal="left" vertical="top"/>
    </xf>
    <xf numFmtId="0" fontId="12" fillId="4" borderId="1" xfId="0" applyFont="1" applyFill="1" applyBorder="1" applyAlignment="1">
      <alignment horizontal="center"/>
    </xf>
    <xf numFmtId="0" fontId="12" fillId="4" borderId="0" xfId="0" applyFont="1" applyFill="1" applyAlignment="1"/>
    <xf numFmtId="0" fontId="13" fillId="4" borderId="1" xfId="0" applyFont="1" applyFill="1" applyBorder="1" applyAlignment="1">
      <alignment horizontal="center"/>
    </xf>
    <xf numFmtId="0" fontId="13" fillId="4" borderId="0" xfId="0" applyFont="1" applyFill="1" applyAlignment="1"/>
    <xf numFmtId="0" fontId="14" fillId="0" borderId="0" xfId="3" applyAlignment="1">
      <alignment horizontal="left" vertical="top" wrapText="1"/>
    </xf>
    <xf numFmtId="0" fontId="0" fillId="0" borderId="0" xfId="0" applyFont="1" applyAlignment="1">
      <alignment vertical="top" wrapText="1"/>
    </xf>
  </cellXfs>
  <cellStyles count="4">
    <cellStyle name="Bad" xfId="2" builtinId="27"/>
    <cellStyle name="Good" xfId="1" builtinId="26"/>
    <cellStyle name="Hyperlink" xfId="3" builtinId="8"/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Veliger</a:t>
            </a:r>
            <a:r>
              <a:rPr lang="en-US" baseline="0"/>
              <a:t> Recovery compared to TSS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'Charts etc'!$L$1:$L$1</c:f>
              <c:strCache>
                <c:ptCount val="1"/>
                <c:pt idx="0">
                  <c:v>TSS g/300mL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'Charts etc'!$L$2:$L$20</c:f>
              <c:numCache>
                <c:formatCode>0.0000</c:formatCode>
                <c:ptCount val="19"/>
                <c:pt idx="0">
                  <c:v>1.9298999999999999</c:v>
                </c:pt>
                <c:pt idx="1">
                  <c:v>1.7000999999999999</c:v>
                </c:pt>
                <c:pt idx="2">
                  <c:v>1.6559999999999999</c:v>
                </c:pt>
                <c:pt idx="3">
                  <c:v>1.6140000000000001</c:v>
                </c:pt>
                <c:pt idx="4">
                  <c:v>1.452</c:v>
                </c:pt>
                <c:pt idx="5">
                  <c:v>1.44</c:v>
                </c:pt>
                <c:pt idx="6">
                  <c:v>1.401</c:v>
                </c:pt>
                <c:pt idx="7">
                  <c:v>1.35</c:v>
                </c:pt>
                <c:pt idx="8">
                  <c:v>1.3008</c:v>
                </c:pt>
                <c:pt idx="9">
                  <c:v>1.2929999999999999</c:v>
                </c:pt>
                <c:pt idx="10">
                  <c:v>1.2</c:v>
                </c:pt>
                <c:pt idx="11">
                  <c:v>1.0959000000000001</c:v>
                </c:pt>
                <c:pt idx="12">
                  <c:v>0.95550000000000002</c:v>
                </c:pt>
                <c:pt idx="13">
                  <c:v>0.57179999999999997</c:v>
                </c:pt>
                <c:pt idx="14">
                  <c:v>0.44190000000000002</c:v>
                </c:pt>
                <c:pt idx="15">
                  <c:v>0.441</c:v>
                </c:pt>
                <c:pt idx="16">
                  <c:v>0.34320000000000001</c:v>
                </c:pt>
                <c:pt idx="17">
                  <c:v>0.25800000000000001</c:v>
                </c:pt>
                <c:pt idx="18">
                  <c:v>8.8800000000000004E-2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E2-41F9-9502-E28E6115D2BC}"/>
            </c:ext>
          </c:extLst>
        </c:ser>
        <c:ser>
          <c:idx val="1"/>
          <c:order val="1"/>
          <c:tx>
            <c:strRef>
              <c:f>'Charts etc'!$M$1:$M$1</c:f>
              <c:strCache>
                <c:ptCount val="1"/>
                <c:pt idx="0">
                  <c:v>Percent of Veliger Recovery in 1st 15 mL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'Charts etc'!$M$2:$M$20</c:f>
              <c:numCache>
                <c:formatCode>0%</c:formatCode>
                <c:ptCount val="19"/>
                <c:pt idx="0">
                  <c:v>0.3</c:v>
                </c:pt>
                <c:pt idx="1">
                  <c:v>0.35</c:v>
                </c:pt>
                <c:pt idx="2">
                  <c:v>0.2</c:v>
                </c:pt>
                <c:pt idx="3">
                  <c:v>0.63</c:v>
                </c:pt>
                <c:pt idx="4">
                  <c:v>0.33</c:v>
                </c:pt>
                <c:pt idx="5">
                  <c:v>0.1</c:v>
                </c:pt>
                <c:pt idx="6">
                  <c:v>0.35</c:v>
                </c:pt>
                <c:pt idx="7">
                  <c:v>0.15</c:v>
                </c:pt>
                <c:pt idx="8">
                  <c:v>0.45</c:v>
                </c:pt>
                <c:pt idx="9">
                  <c:v>0.35</c:v>
                </c:pt>
                <c:pt idx="10">
                  <c:v>0.3</c:v>
                </c:pt>
                <c:pt idx="11">
                  <c:v>0.75</c:v>
                </c:pt>
                <c:pt idx="12">
                  <c:v>0.25</c:v>
                </c:pt>
                <c:pt idx="13">
                  <c:v>0.87</c:v>
                </c:pt>
                <c:pt idx="14">
                  <c:v>0.8</c:v>
                </c:pt>
                <c:pt idx="15">
                  <c:v>0.7</c:v>
                </c:pt>
                <c:pt idx="16">
                  <c:v>0.75</c:v>
                </c:pt>
                <c:pt idx="17">
                  <c:v>0.73</c:v>
                </c:pt>
                <c:pt idx="18">
                  <c:v>0.85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6E2-41F9-9502-E28E6115D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44817391"/>
        <c:axId val="944814895"/>
      </c:barChart>
      <c:catAx>
        <c:axId val="94481739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4814895"/>
        <c:crosses val="autoZero"/>
        <c:auto val="1"/>
        <c:lblAlgn val="ctr"/>
        <c:lblOffset val="100"/>
        <c:noMultiLvlLbl val="0"/>
      </c:catAx>
      <c:valAx>
        <c:axId val="944814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48173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666750</xdr:colOff>
      <xdr:row>20</xdr:row>
      <xdr:rowOff>261937</xdr:rowOff>
    </xdr:from>
    <xdr:to>
      <xdr:col>15</xdr:col>
      <xdr:colOff>250031</xdr:colOff>
      <xdr:row>31</xdr:row>
      <xdr:rowOff>0</xdr:rowOff>
    </xdr:to>
    <xdr:graphicFrame macro="">
      <xdr:nvGraphicFramePr>
        <xdr:cNvPr id="2" name="Chart 1" descr="Graph comparing total suspended solids of samples to the percentage of veliger recovery">
          <a:extLst>
            <a:ext uri="{FF2B5EF4-FFF2-40B4-BE49-F238E27FC236}">
              <a16:creationId xmlns:a16="http://schemas.microsoft.com/office/drawing/2014/main" id="{7D0DB0E4-5246-45D7-9D4B-582A58D286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Quattlebaum, Rheannan (Annie) A" id="{49EA9D50-3929-4387-9043-74BE8C02D3FC}" userId="S::rquattlebaum@usbr.gov::76bee93a-ddb0-440e-be38-1cbd8fd6da79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7" dT="2021-04-06T17:55:39.14" personId="{49EA9D50-3929-4387-9043-74BE8C02D3FC}" id="{8F8F8E2C-FF4E-42B4-9FDB-D0B25E537E25}">
    <text>Original TSS test (bad dessicant, bad data)</text>
  </threadedComment>
  <threadedComment ref="A21" dT="2021-04-06T17:52:13.01" personId="{49EA9D50-3929-4387-9043-74BE8C02D3FC}" id="{8394CD46-E7D8-4E90-943A-89EDBA1DC6F0}">
    <text>used an average of 3 different measurements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J1" dT="2021-03-05T21:25:24.59" personId="{49EA9D50-3929-4387-9043-74BE8C02D3FC}" id="{8E7F7416-956C-42F1-A5D2-F61CE9945B72}">
    <text>Samples sat in desiccant overnight. Desiccant beads are expired. Samples gained weight overnight. 
Will re-dry and re-weigh 2 samples that are too far out of range.</text>
  </threadedComment>
  <threadedComment ref="A7" dT="2021-04-06T17:55:39.14" personId="{49EA9D50-3929-4387-9043-74BE8C02D3FC}" id="{29DCD86B-4E86-41A9-9230-FEFBD6AF211C}">
    <text>Original TSS test (bad dessicant, bad data)</text>
  </threadedComment>
  <threadedComment ref="A21" dT="2021-04-06T17:52:13.01" personId="{49EA9D50-3929-4387-9043-74BE8C02D3FC}" id="{C190D8BA-D77F-419A-9B25-56F8704E4DF9}">
    <text>used an average of 3 different measurements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data.usbr.gov/catalog/4613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54BEFB-0F32-43D3-AD5A-F152BDDE78EA}">
  <dimension ref="A1:B13"/>
  <sheetViews>
    <sheetView tabSelected="1" workbookViewId="0">
      <selection activeCell="F8" sqref="F8"/>
    </sheetView>
  </sheetViews>
  <sheetFormatPr defaultRowHeight="15" x14ac:dyDescent="0.25"/>
  <cols>
    <col min="1" max="1" width="32.140625" style="111" bestFit="1" customWidth="1"/>
    <col min="2" max="2" width="35" style="114" customWidth="1"/>
    <col min="3" max="16384" width="9.140625" style="112"/>
  </cols>
  <sheetData>
    <row r="1" spans="1:2" x14ac:dyDescent="0.25">
      <c r="A1" s="111" t="s">
        <v>83</v>
      </c>
      <c r="B1" s="113">
        <v>44468</v>
      </c>
    </row>
    <row r="2" spans="1:2" ht="30" x14ac:dyDescent="0.25">
      <c r="A2" s="111" t="s">
        <v>84</v>
      </c>
      <c r="B2" s="114" t="s">
        <v>94</v>
      </c>
    </row>
    <row r="3" spans="1:2" x14ac:dyDescent="0.25">
      <c r="A3" s="111" t="s">
        <v>88</v>
      </c>
      <c r="B3" s="114" t="s">
        <v>89</v>
      </c>
    </row>
    <row r="4" spans="1:2" x14ac:dyDescent="0.25">
      <c r="A4" s="111" t="s">
        <v>85</v>
      </c>
      <c r="B4" s="114" t="s">
        <v>87</v>
      </c>
    </row>
    <row r="5" spans="1:2" x14ac:dyDescent="0.25">
      <c r="A5" s="111" t="s">
        <v>86</v>
      </c>
      <c r="B5" s="114" t="s">
        <v>78</v>
      </c>
    </row>
    <row r="6" spans="1:2" x14ac:dyDescent="0.25">
      <c r="A6" s="111" t="s">
        <v>79</v>
      </c>
      <c r="B6" s="161" t="s">
        <v>110</v>
      </c>
    </row>
    <row r="7" spans="1:2" ht="120" x14ac:dyDescent="0.25">
      <c r="A7" s="111" t="s">
        <v>80</v>
      </c>
      <c r="B7" s="114" t="s">
        <v>90</v>
      </c>
    </row>
    <row r="8" spans="1:2" ht="75" x14ac:dyDescent="0.25">
      <c r="A8" s="111" t="s">
        <v>81</v>
      </c>
      <c r="B8" s="114" t="s">
        <v>111</v>
      </c>
    </row>
    <row r="9" spans="1:2" x14ac:dyDescent="0.25">
      <c r="A9" s="111" t="s">
        <v>82</v>
      </c>
      <c r="B9" s="114" t="s">
        <v>41</v>
      </c>
    </row>
    <row r="10" spans="1:2" x14ac:dyDescent="0.25">
      <c r="A10" s="111" t="s">
        <v>93</v>
      </c>
    </row>
    <row r="11" spans="1:2" x14ac:dyDescent="0.25">
      <c r="A11" s="162" t="s">
        <v>91</v>
      </c>
      <c r="B11" s="114" t="s">
        <v>92</v>
      </c>
    </row>
    <row r="12" spans="1:2" ht="30" x14ac:dyDescent="0.25">
      <c r="A12" s="162" t="s">
        <v>95</v>
      </c>
      <c r="B12" s="114" t="s">
        <v>96</v>
      </c>
    </row>
    <row r="13" spans="1:2" ht="30" x14ac:dyDescent="0.25">
      <c r="A13" s="162" t="s">
        <v>105</v>
      </c>
      <c r="B13" s="114" t="s">
        <v>106</v>
      </c>
    </row>
  </sheetData>
  <hyperlinks>
    <hyperlink ref="B6" r:id="rId1" xr:uid="{208373E7-D6ED-480C-92F5-C272192A24B4}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6C7142-D57E-405C-ABD6-30C0A1D46DD7}">
  <sheetPr>
    <pageSetUpPr fitToPage="1"/>
  </sheetPr>
  <dimension ref="A1:C30"/>
  <sheetViews>
    <sheetView workbookViewId="0">
      <pane ySplit="1" topLeftCell="A2" activePane="bottomLeft" state="frozen"/>
      <selection pane="bottomLeft" activeCell="E13" sqref="E13"/>
    </sheetView>
  </sheetViews>
  <sheetFormatPr defaultRowHeight="19.5" customHeight="1" x14ac:dyDescent="0.25"/>
  <cols>
    <col min="1" max="1" width="13.42578125" style="1" customWidth="1"/>
    <col min="2" max="2" width="15" style="33" customWidth="1"/>
    <col min="3" max="3" width="30.5703125" style="1" bestFit="1" customWidth="1"/>
    <col min="4" max="16384" width="9.140625" style="1"/>
  </cols>
  <sheetData>
    <row r="1" spans="1:3" s="13" customFormat="1" ht="30" x14ac:dyDescent="0.25">
      <c r="A1" s="115" t="s">
        <v>77</v>
      </c>
      <c r="B1" s="116" t="s">
        <v>75</v>
      </c>
      <c r="C1" s="116" t="s">
        <v>76</v>
      </c>
    </row>
    <row r="2" spans="1:3" ht="19.5" customHeight="1" x14ac:dyDescent="0.25">
      <c r="A2" s="117">
        <v>201633</v>
      </c>
      <c r="B2" s="44" t="s">
        <v>12</v>
      </c>
      <c r="C2" s="117" t="s">
        <v>33</v>
      </c>
    </row>
    <row r="3" spans="1:3" ht="19.5" customHeight="1" x14ac:dyDescent="0.25">
      <c r="A3" s="117">
        <v>201620</v>
      </c>
      <c r="B3" s="44" t="s">
        <v>13</v>
      </c>
      <c r="C3" s="117" t="s">
        <v>34</v>
      </c>
    </row>
    <row r="4" spans="1:3" ht="19.5" customHeight="1" x14ac:dyDescent="0.25">
      <c r="A4" s="117">
        <v>201642</v>
      </c>
      <c r="B4" s="44" t="s">
        <v>14</v>
      </c>
      <c r="C4" s="117" t="s">
        <v>37</v>
      </c>
    </row>
    <row r="5" spans="1:3" ht="19.5" customHeight="1" x14ac:dyDescent="0.25">
      <c r="A5" s="117">
        <v>201624</v>
      </c>
      <c r="B5" s="44" t="s">
        <v>11</v>
      </c>
      <c r="C5" s="117" t="s">
        <v>36</v>
      </c>
    </row>
    <row r="6" spans="1:3" ht="19.5" customHeight="1" x14ac:dyDescent="0.25">
      <c r="A6" s="117">
        <v>210095</v>
      </c>
      <c r="B6" s="44" t="s">
        <v>15</v>
      </c>
      <c r="C6" s="117" t="s">
        <v>32</v>
      </c>
    </row>
    <row r="7" spans="1:3" ht="19.5" hidden="1" customHeight="1" x14ac:dyDescent="0.25">
      <c r="A7" s="118">
        <v>201289</v>
      </c>
      <c r="B7" s="44"/>
      <c r="C7" s="117"/>
    </row>
    <row r="8" spans="1:3" ht="19.5" hidden="1" customHeight="1" x14ac:dyDescent="0.25">
      <c r="A8" s="117">
        <v>201289.1</v>
      </c>
      <c r="B8" s="44"/>
      <c r="C8" s="117"/>
    </row>
    <row r="9" spans="1:3" ht="19.5" hidden="1" customHeight="1" x14ac:dyDescent="0.25">
      <c r="A9" s="117">
        <v>201289.3</v>
      </c>
      <c r="B9" s="44"/>
      <c r="C9" s="117"/>
    </row>
    <row r="10" spans="1:3" ht="19.5" customHeight="1" x14ac:dyDescent="0.25">
      <c r="A10" s="117">
        <v>200233</v>
      </c>
      <c r="B10" s="44" t="s">
        <v>16</v>
      </c>
      <c r="C10" s="117" t="s">
        <v>38</v>
      </c>
    </row>
    <row r="11" spans="1:3" ht="19.5" customHeight="1" x14ac:dyDescent="0.25">
      <c r="A11" s="117">
        <v>210086</v>
      </c>
      <c r="B11" s="44" t="s">
        <v>17</v>
      </c>
      <c r="C11" s="117" t="s">
        <v>34</v>
      </c>
    </row>
    <row r="12" spans="1:3" ht="19.5" customHeight="1" x14ac:dyDescent="0.25">
      <c r="A12" s="117">
        <v>201676</v>
      </c>
      <c r="B12" s="44" t="s">
        <v>18</v>
      </c>
      <c r="C12" s="117" t="s">
        <v>35</v>
      </c>
    </row>
    <row r="13" spans="1:3" ht="19.5" customHeight="1" x14ac:dyDescent="0.25">
      <c r="A13" s="117">
        <v>200173</v>
      </c>
      <c r="B13" s="44" t="s">
        <v>19</v>
      </c>
      <c r="C13" s="117" t="s">
        <v>33</v>
      </c>
    </row>
    <row r="14" spans="1:3" ht="19.5" customHeight="1" x14ac:dyDescent="0.25">
      <c r="A14" s="117">
        <v>200238</v>
      </c>
      <c r="B14" s="44" t="s">
        <v>20</v>
      </c>
      <c r="C14" s="117" t="s">
        <v>38</v>
      </c>
    </row>
    <row r="15" spans="1:3" ht="19.5" customHeight="1" x14ac:dyDescent="0.25">
      <c r="A15" s="117">
        <v>200134</v>
      </c>
      <c r="B15" s="44" t="s">
        <v>24</v>
      </c>
      <c r="C15" s="117" t="s">
        <v>33</v>
      </c>
    </row>
    <row r="16" spans="1:3" ht="19.5" customHeight="1" x14ac:dyDescent="0.25">
      <c r="A16" s="117">
        <v>201480</v>
      </c>
      <c r="B16" s="44" t="s">
        <v>22</v>
      </c>
      <c r="C16" s="117" t="s">
        <v>39</v>
      </c>
    </row>
    <row r="17" spans="1:3" ht="19.5" customHeight="1" x14ac:dyDescent="0.25">
      <c r="A17" s="117">
        <v>200198</v>
      </c>
      <c r="B17" s="44" t="s">
        <v>23</v>
      </c>
      <c r="C17" s="117" t="s">
        <v>40</v>
      </c>
    </row>
    <row r="18" spans="1:3" ht="19.5" customHeight="1" x14ac:dyDescent="0.25">
      <c r="A18" s="117">
        <v>201608</v>
      </c>
      <c r="B18" s="44" t="s">
        <v>21</v>
      </c>
      <c r="C18" s="117" t="s">
        <v>33</v>
      </c>
    </row>
    <row r="19" spans="1:3" ht="19.5" customHeight="1" x14ac:dyDescent="0.25">
      <c r="A19" s="117">
        <v>201647</v>
      </c>
      <c r="B19" s="44" t="s">
        <v>25</v>
      </c>
      <c r="C19" s="117" t="s">
        <v>33</v>
      </c>
    </row>
    <row r="20" spans="1:3" ht="19.5" customHeight="1" x14ac:dyDescent="0.25">
      <c r="A20" s="117">
        <v>201645</v>
      </c>
      <c r="B20" s="44" t="s">
        <v>28</v>
      </c>
      <c r="C20" s="117" t="s">
        <v>33</v>
      </c>
    </row>
    <row r="21" spans="1:3" ht="19.5" customHeight="1" x14ac:dyDescent="0.25">
      <c r="A21" s="117">
        <v>201289</v>
      </c>
      <c r="B21" s="44" t="s">
        <v>30</v>
      </c>
      <c r="C21" s="117" t="s">
        <v>34</v>
      </c>
    </row>
    <row r="22" spans="1:3" ht="19.5" customHeight="1" x14ac:dyDescent="0.25">
      <c r="A22" s="117">
        <v>200180</v>
      </c>
      <c r="B22" s="44" t="s">
        <v>29</v>
      </c>
      <c r="C22" s="117" t="s">
        <v>33</v>
      </c>
    </row>
    <row r="23" spans="1:3" ht="19.5" customHeight="1" x14ac:dyDescent="0.25">
      <c r="A23" s="117">
        <v>200272</v>
      </c>
      <c r="B23" s="44" t="s">
        <v>27</v>
      </c>
      <c r="C23" s="117" t="s">
        <v>38</v>
      </c>
    </row>
    <row r="24" spans="1:3" ht="19.5" customHeight="1" x14ac:dyDescent="0.25">
      <c r="A24" s="117">
        <v>201507</v>
      </c>
      <c r="B24" s="44" t="s">
        <v>26</v>
      </c>
      <c r="C24" s="117" t="s">
        <v>34</v>
      </c>
    </row>
    <row r="25" spans="1:3" ht="19.5" customHeight="1" x14ac:dyDescent="0.25">
      <c r="A25" s="117" t="s">
        <v>41</v>
      </c>
      <c r="B25" s="44" t="s">
        <v>42</v>
      </c>
      <c r="C25" s="117" t="s">
        <v>60</v>
      </c>
    </row>
    <row r="26" spans="1:3" ht="19.5" customHeight="1" x14ac:dyDescent="0.25">
      <c r="A26" s="117" t="s">
        <v>41</v>
      </c>
      <c r="B26" s="44" t="s">
        <v>43</v>
      </c>
      <c r="C26" s="117" t="s">
        <v>60</v>
      </c>
    </row>
    <row r="27" spans="1:3" ht="19.5" customHeight="1" x14ac:dyDescent="0.25">
      <c r="A27" s="117" t="s">
        <v>41</v>
      </c>
      <c r="B27" s="44" t="s">
        <v>44</v>
      </c>
      <c r="C27" s="117" t="s">
        <v>60</v>
      </c>
    </row>
    <row r="28" spans="1:3" ht="19.5" customHeight="1" x14ac:dyDescent="0.25">
      <c r="A28" s="117" t="s">
        <v>41</v>
      </c>
      <c r="B28" s="44" t="s">
        <v>45</v>
      </c>
      <c r="C28" s="117" t="s">
        <v>60</v>
      </c>
    </row>
    <row r="29" spans="1:3" ht="19.5" customHeight="1" x14ac:dyDescent="0.25">
      <c r="A29" s="117" t="s">
        <v>41</v>
      </c>
      <c r="B29" s="44" t="s">
        <v>46</v>
      </c>
      <c r="C29" s="117" t="s">
        <v>60</v>
      </c>
    </row>
    <row r="30" spans="1:3" ht="19.5" customHeight="1" x14ac:dyDescent="0.25">
      <c r="A30" s="2"/>
      <c r="B30" s="32"/>
      <c r="C30" s="2"/>
    </row>
  </sheetData>
  <pageMargins left="0.25" right="0.25" top="0.75" bottom="0.75" header="0.3" footer="0.3"/>
  <pageSetup scale="99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4A4EF8-3097-4F5C-B517-B2FA8721D504}">
  <sheetPr>
    <pageSetUpPr fitToPage="1"/>
  </sheetPr>
  <dimension ref="A1:W29"/>
  <sheetViews>
    <sheetView workbookViewId="0">
      <pane ySplit="1" topLeftCell="A10" activePane="bottomLeft" state="frozen"/>
      <selection pane="bottomLeft" activeCell="A30" sqref="A30:XFD30"/>
    </sheetView>
  </sheetViews>
  <sheetFormatPr defaultRowHeight="19.5" customHeight="1" x14ac:dyDescent="0.25"/>
  <cols>
    <col min="1" max="1" width="9" style="1" bestFit="1" customWidth="1"/>
    <col min="2" max="2" width="12.5703125" style="4" customWidth="1"/>
    <col min="3" max="3" width="12" style="3" customWidth="1"/>
    <col min="4" max="4" width="12.7109375" style="4" customWidth="1"/>
    <col min="5" max="5" width="16" style="3" customWidth="1"/>
    <col min="6" max="6" width="16.28515625" style="3" customWidth="1"/>
    <col min="7" max="7" width="14" style="4" customWidth="1"/>
    <col min="8" max="8" width="16.28515625" style="5" customWidth="1"/>
    <col min="9" max="9" width="16.28515625" style="3" customWidth="1"/>
    <col min="10" max="10" width="18.42578125" style="3" customWidth="1"/>
    <col min="11" max="11" width="16.28515625" style="3" customWidth="1"/>
    <col min="12" max="12" width="18.5703125" style="1" customWidth="1"/>
    <col min="13" max="14" width="9.140625" style="1" customWidth="1"/>
    <col min="15" max="15" width="9.140625" style="14" customWidth="1"/>
    <col min="16" max="16" width="9.140625" style="6"/>
    <col min="17" max="17" width="15" style="33" customWidth="1"/>
    <col min="18" max="18" width="30.5703125" style="1" bestFit="1" customWidth="1"/>
    <col min="19" max="23" width="15.42578125" style="1" customWidth="1"/>
    <col min="24" max="16384" width="9.140625" style="1"/>
  </cols>
  <sheetData>
    <row r="1" spans="1:23" s="13" customFormat="1" ht="45" x14ac:dyDescent="0.25">
      <c r="A1" s="119" t="s">
        <v>0</v>
      </c>
      <c r="B1" s="120" t="s">
        <v>2</v>
      </c>
      <c r="C1" s="121" t="s">
        <v>3</v>
      </c>
      <c r="D1" s="120" t="s">
        <v>9</v>
      </c>
      <c r="E1" s="121" t="s">
        <v>97</v>
      </c>
      <c r="F1" s="121" t="s">
        <v>99</v>
      </c>
      <c r="G1" s="120" t="s">
        <v>100</v>
      </c>
      <c r="H1" s="11" t="s">
        <v>101</v>
      </c>
      <c r="I1" s="10" t="s">
        <v>102</v>
      </c>
      <c r="J1" s="11" t="s">
        <v>103</v>
      </c>
      <c r="K1" s="10" t="s">
        <v>98</v>
      </c>
      <c r="L1" s="12" t="s">
        <v>104</v>
      </c>
      <c r="M1" s="9" t="s">
        <v>5</v>
      </c>
      <c r="N1" s="9" t="s">
        <v>6</v>
      </c>
      <c r="O1" s="15" t="s">
        <v>7</v>
      </c>
      <c r="P1" s="16" t="s">
        <v>8</v>
      </c>
      <c r="Q1" s="31" t="s">
        <v>75</v>
      </c>
      <c r="R1" s="31" t="s">
        <v>76</v>
      </c>
      <c r="S1" s="9"/>
      <c r="T1" s="9"/>
      <c r="U1" s="9"/>
      <c r="V1" s="9"/>
      <c r="W1" s="9"/>
    </row>
    <row r="2" spans="1:23" ht="19.5" customHeight="1" x14ac:dyDescent="0.25">
      <c r="A2" s="122">
        <v>201633</v>
      </c>
      <c r="B2" s="123">
        <v>10</v>
      </c>
      <c r="C2" s="124">
        <v>0.1196</v>
      </c>
      <c r="D2" s="123">
        <v>119.6</v>
      </c>
      <c r="E2" s="124">
        <v>0.1343</v>
      </c>
      <c r="F2" s="125">
        <v>0.1343</v>
      </c>
      <c r="G2" s="123">
        <v>134.30000000000001</v>
      </c>
      <c r="H2" s="18">
        <f t="shared" ref="H2:H24" si="0">E2-F2</f>
        <v>0</v>
      </c>
      <c r="I2" s="17"/>
      <c r="J2" s="17"/>
      <c r="K2" s="17"/>
      <c r="L2" s="19"/>
      <c r="M2" s="20">
        <f t="shared" ref="M2:M24" si="1">G2-D2</f>
        <v>14.700000000000017</v>
      </c>
      <c r="N2" s="27">
        <f t="shared" ref="N2:N24" si="2">SUM(M2*1000)/B2</f>
        <v>1470.0000000000016</v>
      </c>
      <c r="O2" s="29">
        <v>1.47</v>
      </c>
      <c r="P2" s="30">
        <f t="shared" ref="P2:P24" si="3">O2*0.3</f>
        <v>0.441</v>
      </c>
      <c r="Q2" s="32" t="s">
        <v>12</v>
      </c>
      <c r="R2" s="2" t="s">
        <v>33</v>
      </c>
      <c r="S2" s="2"/>
      <c r="T2" s="2"/>
      <c r="U2" s="2"/>
      <c r="V2" s="2"/>
      <c r="W2" s="2"/>
    </row>
    <row r="3" spans="1:23" ht="19.5" customHeight="1" x14ac:dyDescent="0.25">
      <c r="A3" s="122">
        <v>201620</v>
      </c>
      <c r="B3" s="123">
        <v>9</v>
      </c>
      <c r="C3" s="124">
        <v>0.11799999999999999</v>
      </c>
      <c r="D3" s="123">
        <v>118</v>
      </c>
      <c r="E3" s="124">
        <v>0.1283</v>
      </c>
      <c r="F3" s="125">
        <v>0.1283</v>
      </c>
      <c r="G3" s="123">
        <v>128.30000000000001</v>
      </c>
      <c r="H3" s="18">
        <f t="shared" si="0"/>
        <v>0</v>
      </c>
      <c r="I3" s="17"/>
      <c r="J3" s="17"/>
      <c r="K3" s="17"/>
      <c r="L3" s="19"/>
      <c r="M3" s="28">
        <f t="shared" si="1"/>
        <v>10.300000000000011</v>
      </c>
      <c r="N3" s="27">
        <f t="shared" si="2"/>
        <v>1144.4444444444457</v>
      </c>
      <c r="O3" s="29">
        <v>1.1439999999999999</v>
      </c>
      <c r="P3" s="30">
        <f t="shared" si="3"/>
        <v>0.34319999999999995</v>
      </c>
      <c r="Q3" s="32" t="s">
        <v>13</v>
      </c>
      <c r="R3" s="2" t="s">
        <v>34</v>
      </c>
      <c r="S3" s="2"/>
      <c r="T3" s="2"/>
      <c r="U3" s="2"/>
      <c r="V3" s="2"/>
      <c r="W3" s="2"/>
    </row>
    <row r="4" spans="1:23" ht="19.5" customHeight="1" x14ac:dyDescent="0.25">
      <c r="A4" s="122">
        <v>201642</v>
      </c>
      <c r="B4" s="123">
        <v>15</v>
      </c>
      <c r="C4" s="124">
        <v>0.1188</v>
      </c>
      <c r="D4" s="123">
        <v>118.8</v>
      </c>
      <c r="E4" s="124">
        <v>0.13170000000000001</v>
      </c>
      <c r="F4" s="125">
        <v>0.13170000000000001</v>
      </c>
      <c r="G4" s="123">
        <v>131.69999999999999</v>
      </c>
      <c r="H4" s="18">
        <f t="shared" si="0"/>
        <v>0</v>
      </c>
      <c r="I4" s="17"/>
      <c r="J4" s="17"/>
      <c r="K4" s="17"/>
      <c r="L4" s="19"/>
      <c r="M4" s="28">
        <f t="shared" si="1"/>
        <v>12.899999999999991</v>
      </c>
      <c r="N4" s="27">
        <f t="shared" si="2"/>
        <v>859.99999999999943</v>
      </c>
      <c r="O4" s="29">
        <v>0.86</v>
      </c>
      <c r="P4" s="30">
        <f t="shared" si="3"/>
        <v>0.25800000000000001</v>
      </c>
      <c r="Q4" s="32" t="s">
        <v>14</v>
      </c>
      <c r="R4" s="2" t="s">
        <v>37</v>
      </c>
      <c r="S4" s="2"/>
      <c r="T4" s="2"/>
      <c r="U4" s="2"/>
      <c r="V4" s="2"/>
      <c r="W4" s="2"/>
    </row>
    <row r="5" spans="1:23" ht="19.5" customHeight="1" x14ac:dyDescent="0.25">
      <c r="A5" s="122">
        <v>201624</v>
      </c>
      <c r="B5" s="123">
        <v>12.5</v>
      </c>
      <c r="C5" s="124">
        <v>0.11849999999999999</v>
      </c>
      <c r="D5" s="123">
        <v>118.5</v>
      </c>
      <c r="E5" s="124">
        <v>0.1222</v>
      </c>
      <c r="F5" s="125">
        <v>0.1222</v>
      </c>
      <c r="G5" s="123">
        <v>122.2</v>
      </c>
      <c r="H5" s="18">
        <f t="shared" si="0"/>
        <v>0</v>
      </c>
      <c r="I5" s="17"/>
      <c r="J5" s="17"/>
      <c r="K5" s="17"/>
      <c r="L5" s="19"/>
      <c r="M5" s="20">
        <f t="shared" si="1"/>
        <v>3.7000000000000028</v>
      </c>
      <c r="N5" s="27">
        <f t="shared" si="2"/>
        <v>296.00000000000023</v>
      </c>
      <c r="O5" s="29">
        <v>0.29599999999999999</v>
      </c>
      <c r="P5" s="30">
        <f t="shared" si="3"/>
        <v>8.879999999999999E-2</v>
      </c>
      <c r="Q5" s="32" t="s">
        <v>11</v>
      </c>
      <c r="R5" s="2" t="s">
        <v>36</v>
      </c>
      <c r="S5" s="2"/>
      <c r="T5" s="2"/>
      <c r="U5" s="2"/>
      <c r="V5" s="2"/>
      <c r="W5" s="2"/>
    </row>
    <row r="6" spans="1:23" ht="19.5" customHeight="1" x14ac:dyDescent="0.25">
      <c r="A6" s="122">
        <v>210095</v>
      </c>
      <c r="B6" s="123">
        <v>19</v>
      </c>
      <c r="C6" s="124">
        <v>0.1198</v>
      </c>
      <c r="D6" s="123">
        <v>119.8</v>
      </c>
      <c r="E6" s="124">
        <v>0.14799999999999999</v>
      </c>
      <c r="F6" s="125">
        <v>0.14779999999999999</v>
      </c>
      <c r="G6" s="123">
        <v>147.80000000000001</v>
      </c>
      <c r="H6" s="18">
        <f t="shared" si="0"/>
        <v>2.0000000000000573E-4</v>
      </c>
      <c r="I6" s="17"/>
      <c r="J6" s="17"/>
      <c r="K6" s="17"/>
      <c r="L6" s="19"/>
      <c r="M6" s="28">
        <f t="shared" si="1"/>
        <v>28.000000000000014</v>
      </c>
      <c r="N6" s="27">
        <f t="shared" si="2"/>
        <v>1473.6842105263165</v>
      </c>
      <c r="O6" s="29">
        <v>1.4730000000000001</v>
      </c>
      <c r="P6" s="30">
        <f t="shared" si="3"/>
        <v>0.44190000000000002</v>
      </c>
      <c r="Q6" s="32" t="s">
        <v>15</v>
      </c>
      <c r="R6" s="2" t="s">
        <v>32</v>
      </c>
      <c r="S6" s="2"/>
      <c r="T6" s="2"/>
      <c r="U6" s="2"/>
      <c r="V6" s="2"/>
      <c r="W6" s="2"/>
    </row>
    <row r="7" spans="1:23" ht="19.5" hidden="1" customHeight="1" x14ac:dyDescent="0.25">
      <c r="A7" s="126">
        <v>201289</v>
      </c>
      <c r="B7" s="127">
        <v>17</v>
      </c>
      <c r="C7" s="128">
        <v>0.1196</v>
      </c>
      <c r="D7" s="127">
        <v>119.6</v>
      </c>
      <c r="E7" s="128">
        <v>0.38829999999999998</v>
      </c>
      <c r="F7" s="128">
        <v>0.38619999999999999</v>
      </c>
      <c r="G7" s="127">
        <v>386.2</v>
      </c>
      <c r="H7" s="8">
        <f t="shared" si="0"/>
        <v>2.0999999999999908E-3</v>
      </c>
      <c r="I7" s="8">
        <v>0.38890000000000002</v>
      </c>
      <c r="J7" s="8">
        <f>F7-I7</f>
        <v>-2.7000000000000357E-3</v>
      </c>
      <c r="K7" s="8">
        <v>0.3906</v>
      </c>
      <c r="L7" s="24">
        <f>I7-K7</f>
        <v>-1.6999999999999793E-3</v>
      </c>
      <c r="M7" s="25">
        <f t="shared" si="1"/>
        <v>266.60000000000002</v>
      </c>
      <c r="N7" s="23">
        <f t="shared" si="2"/>
        <v>15682.35294117647</v>
      </c>
      <c r="O7" s="26">
        <v>15.682</v>
      </c>
      <c r="P7" s="24">
        <f t="shared" si="3"/>
        <v>4.7046000000000001</v>
      </c>
      <c r="Q7" s="32"/>
      <c r="R7" s="2"/>
      <c r="S7" s="2"/>
      <c r="T7" s="2"/>
      <c r="U7" s="2"/>
      <c r="V7" s="2"/>
      <c r="W7" s="2"/>
    </row>
    <row r="8" spans="1:23" ht="19.5" hidden="1" customHeight="1" x14ac:dyDescent="0.25">
      <c r="A8" s="122">
        <v>201289.1</v>
      </c>
      <c r="B8" s="123">
        <v>5</v>
      </c>
      <c r="C8" s="124"/>
      <c r="D8" s="123">
        <v>118.8</v>
      </c>
      <c r="E8" s="124">
        <v>0.18379999999999999</v>
      </c>
      <c r="F8" s="125">
        <v>0.18279999999999999</v>
      </c>
      <c r="G8" s="123">
        <v>182.8</v>
      </c>
      <c r="H8" s="34">
        <f t="shared" si="0"/>
        <v>1.0000000000000009E-3</v>
      </c>
      <c r="I8" s="34"/>
      <c r="J8" s="34"/>
      <c r="K8" s="34"/>
      <c r="L8" s="35"/>
      <c r="M8" s="36">
        <f t="shared" si="1"/>
        <v>64.000000000000014</v>
      </c>
      <c r="N8" s="35">
        <f t="shared" si="2"/>
        <v>12800.000000000004</v>
      </c>
      <c r="O8" s="37">
        <v>12.8</v>
      </c>
      <c r="P8" s="38">
        <f t="shared" si="3"/>
        <v>3.84</v>
      </c>
      <c r="Q8" s="32"/>
      <c r="R8" s="2"/>
      <c r="S8" s="2"/>
      <c r="T8" s="2"/>
      <c r="U8" s="2"/>
      <c r="V8" s="2"/>
      <c r="W8" s="2"/>
    </row>
    <row r="9" spans="1:23" ht="19.5" hidden="1" customHeight="1" x14ac:dyDescent="0.25">
      <c r="A9" s="122">
        <v>201289.3</v>
      </c>
      <c r="B9" s="123">
        <v>5</v>
      </c>
      <c r="C9" s="124"/>
      <c r="D9" s="123">
        <v>119.2</v>
      </c>
      <c r="E9" s="124">
        <v>0.19670000000000001</v>
      </c>
      <c r="F9" s="125">
        <v>0.1963</v>
      </c>
      <c r="G9" s="123">
        <v>196.3</v>
      </c>
      <c r="H9" s="34">
        <f t="shared" si="0"/>
        <v>4.0000000000001146E-4</v>
      </c>
      <c r="I9" s="34"/>
      <c r="J9" s="34"/>
      <c r="K9" s="34"/>
      <c r="L9" s="35"/>
      <c r="M9" s="36">
        <f t="shared" si="1"/>
        <v>77.100000000000009</v>
      </c>
      <c r="N9" s="35">
        <f t="shared" si="2"/>
        <v>15420.000000000004</v>
      </c>
      <c r="O9" s="37">
        <v>15.42</v>
      </c>
      <c r="P9" s="38">
        <f t="shared" si="3"/>
        <v>4.6259999999999994</v>
      </c>
      <c r="Q9" s="32"/>
      <c r="R9" s="2"/>
      <c r="S9" s="2" t="s">
        <v>4</v>
      </c>
      <c r="T9" s="2"/>
      <c r="U9" s="2"/>
      <c r="V9" s="2"/>
      <c r="W9" s="2"/>
    </row>
    <row r="10" spans="1:23" ht="19.5" customHeight="1" x14ac:dyDescent="0.25">
      <c r="A10" s="122">
        <v>200233</v>
      </c>
      <c r="B10" s="123">
        <v>7</v>
      </c>
      <c r="C10" s="124">
        <v>0.11990000000000001</v>
      </c>
      <c r="D10" s="123">
        <v>119.9</v>
      </c>
      <c r="E10" s="124">
        <v>0.14799999999999999</v>
      </c>
      <c r="F10" s="125">
        <v>0.1479</v>
      </c>
      <c r="G10" s="123">
        <v>147.9</v>
      </c>
      <c r="H10" s="18">
        <f t="shared" si="0"/>
        <v>9.9999999999988987E-5</v>
      </c>
      <c r="I10" s="17">
        <v>0.14810000000000001</v>
      </c>
      <c r="J10" s="17">
        <f>F10-I10</f>
        <v>-2.0000000000000573E-4</v>
      </c>
      <c r="K10" s="17" t="s">
        <v>1</v>
      </c>
      <c r="L10" s="22" t="s">
        <v>4</v>
      </c>
      <c r="M10" s="20">
        <f t="shared" si="1"/>
        <v>28</v>
      </c>
      <c r="N10" s="19">
        <f t="shared" si="2"/>
        <v>4000</v>
      </c>
      <c r="O10" s="21">
        <v>4</v>
      </c>
      <c r="P10" s="7">
        <f t="shared" si="3"/>
        <v>1.2</v>
      </c>
      <c r="Q10" s="32" t="s">
        <v>16</v>
      </c>
      <c r="R10" s="2" t="s">
        <v>38</v>
      </c>
      <c r="S10" s="2"/>
      <c r="T10" s="2"/>
      <c r="U10" s="2"/>
      <c r="V10" s="2"/>
      <c r="W10" s="2"/>
    </row>
    <row r="11" spans="1:23" ht="19.5" customHeight="1" x14ac:dyDescent="0.25">
      <c r="A11" s="122">
        <v>210086</v>
      </c>
      <c r="B11" s="123">
        <v>15</v>
      </c>
      <c r="C11" s="124">
        <v>0.11940000000000001</v>
      </c>
      <c r="D11" s="123">
        <v>119.4</v>
      </c>
      <c r="E11" s="124">
        <v>0.14799999999999999</v>
      </c>
      <c r="F11" s="125">
        <v>0.14799999999999999</v>
      </c>
      <c r="G11" s="123">
        <v>148</v>
      </c>
      <c r="H11" s="18">
        <f t="shared" si="0"/>
        <v>0</v>
      </c>
      <c r="I11" s="17"/>
      <c r="J11" s="17"/>
      <c r="K11" s="17"/>
      <c r="L11" s="19"/>
      <c r="M11" s="20">
        <f t="shared" si="1"/>
        <v>28.599999999999994</v>
      </c>
      <c r="N11" s="27">
        <f t="shared" si="2"/>
        <v>1906.6666666666663</v>
      </c>
      <c r="O11" s="29">
        <v>1.9059999999999999</v>
      </c>
      <c r="P11" s="30">
        <f t="shared" si="3"/>
        <v>0.57179999999999997</v>
      </c>
      <c r="Q11" s="32" t="s">
        <v>17</v>
      </c>
      <c r="R11" s="2" t="s">
        <v>34</v>
      </c>
      <c r="S11" s="2"/>
      <c r="T11" s="2"/>
      <c r="U11" s="2"/>
      <c r="V11" s="2"/>
      <c r="W11" s="2"/>
    </row>
    <row r="12" spans="1:23" ht="19.5" customHeight="1" x14ac:dyDescent="0.25">
      <c r="A12" s="122">
        <v>201676</v>
      </c>
      <c r="B12" s="123">
        <v>7.5</v>
      </c>
      <c r="C12" s="124">
        <v>0.1181</v>
      </c>
      <c r="D12" s="123">
        <v>118.1</v>
      </c>
      <c r="E12" s="124">
        <v>0.1459</v>
      </c>
      <c r="F12" s="125">
        <v>0.14549999999999999</v>
      </c>
      <c r="G12" s="123">
        <v>145.5</v>
      </c>
      <c r="H12" s="18">
        <f t="shared" si="0"/>
        <v>4.0000000000001146E-4</v>
      </c>
      <c r="I12" s="17"/>
      <c r="J12" s="17"/>
      <c r="K12" s="17"/>
      <c r="L12" s="19"/>
      <c r="M12" s="20">
        <f t="shared" si="1"/>
        <v>27.400000000000006</v>
      </c>
      <c r="N12" s="27">
        <f t="shared" si="2"/>
        <v>3653.3333333333344</v>
      </c>
      <c r="O12" s="29">
        <v>3.653</v>
      </c>
      <c r="P12" s="30">
        <f t="shared" si="3"/>
        <v>1.0958999999999999</v>
      </c>
      <c r="Q12" s="32" t="s">
        <v>18</v>
      </c>
      <c r="R12" s="2" t="s">
        <v>35</v>
      </c>
      <c r="S12" s="2"/>
      <c r="T12" s="2"/>
      <c r="U12" s="2"/>
      <c r="V12" s="2"/>
      <c r="W12" s="2"/>
    </row>
    <row r="13" spans="1:23" ht="19.5" customHeight="1" x14ac:dyDescent="0.25">
      <c r="A13" s="122">
        <v>200173</v>
      </c>
      <c r="B13" s="123">
        <v>10</v>
      </c>
      <c r="C13" s="124">
        <v>0.1195</v>
      </c>
      <c r="D13" s="123">
        <v>119.5</v>
      </c>
      <c r="E13" s="124">
        <v>0.16289999999999999</v>
      </c>
      <c r="F13" s="125">
        <v>0.16259999999999999</v>
      </c>
      <c r="G13" s="123">
        <v>162.6</v>
      </c>
      <c r="H13" s="18">
        <f t="shared" si="0"/>
        <v>2.9999999999999472E-4</v>
      </c>
      <c r="I13" s="17"/>
      <c r="J13" s="17"/>
      <c r="K13" s="17"/>
      <c r="L13" s="19"/>
      <c r="M13" s="20">
        <f t="shared" si="1"/>
        <v>43.099999999999994</v>
      </c>
      <c r="N13" s="27">
        <f t="shared" si="2"/>
        <v>4309.9999999999991</v>
      </c>
      <c r="O13" s="29">
        <v>4.3099999999999996</v>
      </c>
      <c r="P13" s="30">
        <f t="shared" si="3"/>
        <v>1.2929999999999999</v>
      </c>
      <c r="Q13" s="32" t="s">
        <v>19</v>
      </c>
      <c r="R13" s="2" t="s">
        <v>33</v>
      </c>
      <c r="S13" s="2"/>
      <c r="T13" s="2"/>
      <c r="U13" s="2"/>
      <c r="V13" s="2"/>
      <c r="W13" s="2"/>
    </row>
    <row r="14" spans="1:23" ht="19.5" customHeight="1" x14ac:dyDescent="0.25">
      <c r="A14" s="122">
        <v>200238</v>
      </c>
      <c r="B14" s="123">
        <v>14</v>
      </c>
      <c r="C14" s="124">
        <v>0.1197</v>
      </c>
      <c r="D14" s="123">
        <v>119.7</v>
      </c>
      <c r="E14" s="124">
        <v>0.16439999999999999</v>
      </c>
      <c r="F14" s="125">
        <v>0.1643</v>
      </c>
      <c r="G14" s="123">
        <v>164.3</v>
      </c>
      <c r="H14" s="18">
        <f t="shared" si="0"/>
        <v>9.9999999999988987E-5</v>
      </c>
      <c r="I14" s="17"/>
      <c r="J14" s="17"/>
      <c r="K14" s="17"/>
      <c r="L14" s="19"/>
      <c r="M14" s="20">
        <f t="shared" si="1"/>
        <v>44.600000000000009</v>
      </c>
      <c r="N14" s="27">
        <f t="shared" si="2"/>
        <v>3185.7142857142862</v>
      </c>
      <c r="O14" s="29">
        <v>3.1850000000000001</v>
      </c>
      <c r="P14" s="30">
        <f t="shared" si="3"/>
        <v>0.95550000000000002</v>
      </c>
      <c r="Q14" s="32" t="s">
        <v>20</v>
      </c>
      <c r="R14" s="2" t="s">
        <v>38</v>
      </c>
      <c r="S14" s="2"/>
      <c r="T14" s="2"/>
      <c r="U14" s="2"/>
      <c r="V14" s="2"/>
      <c r="W14" s="2"/>
    </row>
    <row r="15" spans="1:23" ht="19.5" customHeight="1" x14ac:dyDescent="0.25">
      <c r="A15" s="122">
        <v>200134</v>
      </c>
      <c r="B15" s="123">
        <v>12.5</v>
      </c>
      <c r="C15" s="124">
        <v>0.12</v>
      </c>
      <c r="D15" s="123">
        <v>120</v>
      </c>
      <c r="E15" s="124">
        <v>0.18010000000000001</v>
      </c>
      <c r="F15" s="125">
        <v>0.18</v>
      </c>
      <c r="G15" s="123">
        <v>180</v>
      </c>
      <c r="H15" s="18">
        <f t="shared" si="0"/>
        <v>1.0000000000001674E-4</v>
      </c>
      <c r="I15" s="17"/>
      <c r="J15" s="17"/>
      <c r="K15" s="17"/>
      <c r="L15" s="19"/>
      <c r="M15" s="20">
        <f t="shared" si="1"/>
        <v>60</v>
      </c>
      <c r="N15" s="27">
        <f t="shared" si="2"/>
        <v>4800</v>
      </c>
      <c r="O15" s="29">
        <v>4.8</v>
      </c>
      <c r="P15" s="30">
        <f t="shared" si="3"/>
        <v>1.44</v>
      </c>
      <c r="Q15" s="32" t="s">
        <v>24</v>
      </c>
      <c r="R15" s="2" t="s">
        <v>33</v>
      </c>
      <c r="S15" s="2"/>
      <c r="T15" s="2"/>
      <c r="U15" s="2"/>
      <c r="V15" s="2"/>
      <c r="W15" s="2"/>
    </row>
    <row r="16" spans="1:23" ht="19.5" customHeight="1" x14ac:dyDescent="0.25">
      <c r="A16" s="122">
        <v>201480</v>
      </c>
      <c r="B16" s="123">
        <v>3</v>
      </c>
      <c r="C16" s="124">
        <v>0.11990000000000001</v>
      </c>
      <c r="D16" s="123">
        <v>119.9</v>
      </c>
      <c r="E16" s="124">
        <v>0.13339999999999999</v>
      </c>
      <c r="F16" s="125">
        <v>0.13339999999999999</v>
      </c>
      <c r="G16" s="123">
        <v>133.4</v>
      </c>
      <c r="H16" s="18">
        <f t="shared" si="0"/>
        <v>0</v>
      </c>
      <c r="I16" s="17"/>
      <c r="J16" s="17"/>
      <c r="K16" s="17"/>
      <c r="L16" s="19"/>
      <c r="M16" s="20">
        <f t="shared" si="1"/>
        <v>13.5</v>
      </c>
      <c r="N16" s="27">
        <f t="shared" si="2"/>
        <v>4500</v>
      </c>
      <c r="O16" s="29">
        <v>4.5</v>
      </c>
      <c r="P16" s="30">
        <f t="shared" si="3"/>
        <v>1.3499999999999999</v>
      </c>
      <c r="Q16" s="32" t="s">
        <v>22</v>
      </c>
      <c r="R16" s="2" t="s">
        <v>39</v>
      </c>
      <c r="S16" s="2"/>
      <c r="T16" s="2"/>
      <c r="U16" s="2"/>
      <c r="V16" s="2"/>
      <c r="W16" s="2"/>
    </row>
    <row r="17" spans="1:23" ht="19.5" customHeight="1" x14ac:dyDescent="0.25">
      <c r="A17" s="122">
        <v>200198</v>
      </c>
      <c r="B17" s="123">
        <v>10</v>
      </c>
      <c r="C17" s="124">
        <v>0.1195</v>
      </c>
      <c r="D17" s="123">
        <v>119.5</v>
      </c>
      <c r="E17" s="124">
        <v>0.16619999999999999</v>
      </c>
      <c r="F17" s="125">
        <v>0.16619999999999999</v>
      </c>
      <c r="G17" s="123">
        <v>166.2</v>
      </c>
      <c r="H17" s="18">
        <f t="shared" si="0"/>
        <v>0</v>
      </c>
      <c r="I17" s="17"/>
      <c r="J17" s="17"/>
      <c r="K17" s="17"/>
      <c r="L17" s="19"/>
      <c r="M17" s="20">
        <f t="shared" si="1"/>
        <v>46.699999999999989</v>
      </c>
      <c r="N17" s="27">
        <f t="shared" si="2"/>
        <v>4669.9999999999982</v>
      </c>
      <c r="O17" s="29">
        <v>4.67</v>
      </c>
      <c r="P17" s="30">
        <f t="shared" si="3"/>
        <v>1.401</v>
      </c>
      <c r="Q17" s="32" t="s">
        <v>23</v>
      </c>
      <c r="R17" s="2" t="s">
        <v>40</v>
      </c>
      <c r="S17" s="2"/>
      <c r="T17" s="2"/>
      <c r="U17" s="2"/>
      <c r="V17" s="2"/>
      <c r="W17" s="2"/>
    </row>
    <row r="18" spans="1:23" ht="19.5" customHeight="1" x14ac:dyDescent="0.25">
      <c r="A18" s="122">
        <v>201608</v>
      </c>
      <c r="B18" s="123">
        <v>12.5</v>
      </c>
      <c r="C18" s="124">
        <v>0.11849999999999999</v>
      </c>
      <c r="D18" s="123">
        <v>118.5</v>
      </c>
      <c r="E18" s="124">
        <v>0.1731</v>
      </c>
      <c r="F18" s="125">
        <v>0.17269999999999999</v>
      </c>
      <c r="G18" s="123">
        <v>172.7</v>
      </c>
      <c r="H18" s="18">
        <f t="shared" si="0"/>
        <v>4.0000000000001146E-4</v>
      </c>
      <c r="I18" s="17">
        <v>0.17299999999999999</v>
      </c>
      <c r="J18" s="17">
        <f>F18-I18</f>
        <v>-2.9999999999999472E-4</v>
      </c>
      <c r="K18" s="17">
        <v>0.1731</v>
      </c>
      <c r="L18" s="22">
        <f>I18-K18</f>
        <v>-1.0000000000001674E-4</v>
      </c>
      <c r="M18" s="20">
        <f t="shared" si="1"/>
        <v>54.199999999999989</v>
      </c>
      <c r="N18" s="19">
        <f t="shared" si="2"/>
        <v>4335.9999999999991</v>
      </c>
      <c r="O18" s="21">
        <v>4.3360000000000003</v>
      </c>
      <c r="P18" s="7">
        <f t="shared" si="3"/>
        <v>1.3008</v>
      </c>
      <c r="Q18" s="32" t="s">
        <v>21</v>
      </c>
      <c r="R18" s="2" t="s">
        <v>33</v>
      </c>
      <c r="S18" s="2"/>
      <c r="T18" s="2"/>
      <c r="U18" s="2"/>
      <c r="V18" s="2"/>
      <c r="W18" s="2"/>
    </row>
    <row r="19" spans="1:23" ht="19.5" customHeight="1" x14ac:dyDescent="0.25">
      <c r="A19" s="122">
        <v>201647</v>
      </c>
      <c r="B19" s="123">
        <v>10</v>
      </c>
      <c r="C19" s="124">
        <v>0.12130000000000001</v>
      </c>
      <c r="D19" s="123">
        <v>121.3</v>
      </c>
      <c r="E19" s="124">
        <v>0.1699</v>
      </c>
      <c r="F19" s="125">
        <v>0.16969999999999999</v>
      </c>
      <c r="G19" s="123">
        <v>169.7</v>
      </c>
      <c r="H19" s="18">
        <f t="shared" si="0"/>
        <v>2.0000000000000573E-4</v>
      </c>
      <c r="I19" s="17"/>
      <c r="J19" s="17"/>
      <c r="K19" s="17"/>
      <c r="L19" s="19"/>
      <c r="M19" s="20">
        <f t="shared" si="1"/>
        <v>48.399999999999991</v>
      </c>
      <c r="N19" s="27">
        <f t="shared" si="2"/>
        <v>4839.9999999999991</v>
      </c>
      <c r="O19" s="29">
        <v>4.84</v>
      </c>
      <c r="P19" s="30">
        <f t="shared" si="3"/>
        <v>1.452</v>
      </c>
      <c r="Q19" s="32" t="s">
        <v>25</v>
      </c>
      <c r="R19" s="2" t="s">
        <v>33</v>
      </c>
      <c r="S19" s="2"/>
      <c r="T19" s="2"/>
      <c r="U19" s="2"/>
      <c r="V19" s="2"/>
      <c r="W19" s="2"/>
    </row>
    <row r="20" spans="1:23" ht="19.5" customHeight="1" x14ac:dyDescent="0.25">
      <c r="A20" s="122">
        <v>201645</v>
      </c>
      <c r="B20" s="123">
        <v>6</v>
      </c>
      <c r="C20" s="124">
        <v>0.1193</v>
      </c>
      <c r="D20" s="123">
        <v>119.3</v>
      </c>
      <c r="E20" s="124">
        <v>0.1535</v>
      </c>
      <c r="F20" s="125">
        <v>0.15329999999999999</v>
      </c>
      <c r="G20" s="123">
        <v>153.30000000000001</v>
      </c>
      <c r="H20" s="18">
        <f t="shared" si="0"/>
        <v>2.0000000000000573E-4</v>
      </c>
      <c r="I20" s="17"/>
      <c r="J20" s="17"/>
      <c r="K20" s="17"/>
      <c r="L20" s="19"/>
      <c r="M20" s="20">
        <f t="shared" si="1"/>
        <v>34.000000000000014</v>
      </c>
      <c r="N20" s="27">
        <f t="shared" si="2"/>
        <v>5666.6666666666688</v>
      </c>
      <c r="O20" s="29">
        <v>5.6669999999999998</v>
      </c>
      <c r="P20" s="30">
        <f t="shared" si="3"/>
        <v>1.7000999999999999</v>
      </c>
      <c r="Q20" s="32" t="s">
        <v>28</v>
      </c>
      <c r="R20" s="2" t="s">
        <v>33</v>
      </c>
      <c r="S20" s="2"/>
      <c r="T20" s="2"/>
      <c r="U20" s="2"/>
      <c r="V20" s="2"/>
      <c r="W20" s="2"/>
    </row>
    <row r="21" spans="1:23" ht="19.5" customHeight="1" x14ac:dyDescent="0.25">
      <c r="A21" s="122">
        <v>201289</v>
      </c>
      <c r="B21" s="123">
        <v>5</v>
      </c>
      <c r="C21" s="124">
        <v>0.1192</v>
      </c>
      <c r="D21" s="123">
        <v>119.2</v>
      </c>
      <c r="E21" s="124">
        <v>0.19450000000000001</v>
      </c>
      <c r="F21" s="125">
        <v>0.19400000000000001</v>
      </c>
      <c r="G21" s="123">
        <v>194</v>
      </c>
      <c r="H21" s="18">
        <f t="shared" si="0"/>
        <v>5.0000000000000044E-4</v>
      </c>
      <c r="I21" s="18"/>
      <c r="J21" s="18"/>
      <c r="K21" s="18"/>
      <c r="L21" s="27"/>
      <c r="M21" s="28">
        <f t="shared" si="1"/>
        <v>74.8</v>
      </c>
      <c r="N21" s="27">
        <f t="shared" si="2"/>
        <v>14960</v>
      </c>
      <c r="O21" s="29">
        <v>14.96</v>
      </c>
      <c r="P21" s="30">
        <f t="shared" si="3"/>
        <v>4.4880000000000004</v>
      </c>
      <c r="Q21" s="32" t="s">
        <v>30</v>
      </c>
      <c r="R21" s="2" t="s">
        <v>34</v>
      </c>
      <c r="S21" s="2"/>
      <c r="T21" s="2"/>
      <c r="U21" s="2"/>
      <c r="V21" s="2"/>
      <c r="W21" s="2"/>
    </row>
    <row r="22" spans="1:23" ht="19.5" customHeight="1" x14ac:dyDescent="0.25">
      <c r="A22" s="122">
        <v>200180</v>
      </c>
      <c r="B22" s="123">
        <v>12</v>
      </c>
      <c r="C22" s="124">
        <v>0.1198</v>
      </c>
      <c r="D22" s="123">
        <v>119.8</v>
      </c>
      <c r="E22" s="124">
        <v>0.1973</v>
      </c>
      <c r="F22" s="125">
        <v>0.19700000000000001</v>
      </c>
      <c r="G22" s="123">
        <v>197</v>
      </c>
      <c r="H22" s="18">
        <f t="shared" si="0"/>
        <v>2.9999999999999472E-4</v>
      </c>
      <c r="I22" s="17">
        <v>0.1973</v>
      </c>
      <c r="J22" s="17">
        <f>F22-I22</f>
        <v>-2.9999999999999472E-4</v>
      </c>
      <c r="K22" s="17" t="s">
        <v>1</v>
      </c>
      <c r="L22" s="19"/>
      <c r="M22" s="20">
        <f t="shared" si="1"/>
        <v>77.2</v>
      </c>
      <c r="N22" s="19">
        <f t="shared" si="2"/>
        <v>6433.333333333333</v>
      </c>
      <c r="O22" s="21">
        <v>6.4329999999999998</v>
      </c>
      <c r="P22" s="7">
        <f t="shared" si="3"/>
        <v>1.9298999999999999</v>
      </c>
      <c r="Q22" s="32" t="s">
        <v>29</v>
      </c>
      <c r="R22" s="2" t="s">
        <v>33</v>
      </c>
      <c r="S22" s="2"/>
      <c r="T22" s="2"/>
      <c r="U22" s="2"/>
      <c r="V22" s="2"/>
      <c r="W22" s="2"/>
    </row>
    <row r="23" spans="1:23" ht="19.5" customHeight="1" x14ac:dyDescent="0.25">
      <c r="A23" s="122">
        <v>200272</v>
      </c>
      <c r="B23" s="123">
        <v>5</v>
      </c>
      <c r="C23" s="124">
        <v>0.1186</v>
      </c>
      <c r="D23" s="123">
        <v>118.6</v>
      </c>
      <c r="E23" s="124">
        <v>0.1464</v>
      </c>
      <c r="F23" s="125">
        <v>0.1462</v>
      </c>
      <c r="G23" s="123">
        <v>146.19999999999999</v>
      </c>
      <c r="H23" s="18">
        <f t="shared" si="0"/>
        <v>2.0000000000000573E-4</v>
      </c>
      <c r="I23" s="17"/>
      <c r="J23" s="17"/>
      <c r="K23" s="17"/>
      <c r="L23" s="19"/>
      <c r="M23" s="20">
        <f t="shared" si="1"/>
        <v>27.599999999999994</v>
      </c>
      <c r="N23" s="27">
        <f t="shared" si="2"/>
        <v>5519.9999999999982</v>
      </c>
      <c r="O23" s="29">
        <v>5.52</v>
      </c>
      <c r="P23" s="30">
        <f t="shared" si="3"/>
        <v>1.6559999999999999</v>
      </c>
      <c r="Q23" s="32" t="s">
        <v>27</v>
      </c>
      <c r="R23" s="2" t="s">
        <v>38</v>
      </c>
      <c r="S23" s="2"/>
      <c r="T23" s="2"/>
      <c r="U23" s="2"/>
      <c r="V23" s="2"/>
      <c r="W23" s="2"/>
    </row>
    <row r="24" spans="1:23" ht="19.5" customHeight="1" x14ac:dyDescent="0.25">
      <c r="A24" s="122">
        <v>201507</v>
      </c>
      <c r="B24" s="123">
        <v>5</v>
      </c>
      <c r="C24" s="124">
        <v>0.11899999999999999</v>
      </c>
      <c r="D24" s="123">
        <v>119</v>
      </c>
      <c r="E24" s="124">
        <v>0.14610000000000001</v>
      </c>
      <c r="F24" s="125">
        <v>0.1459</v>
      </c>
      <c r="G24" s="123">
        <v>145.9</v>
      </c>
      <c r="H24" s="18">
        <f t="shared" si="0"/>
        <v>2.0000000000000573E-4</v>
      </c>
      <c r="I24" s="17">
        <v>0.14610000000000001</v>
      </c>
      <c r="J24" s="17">
        <f>F24-I24</f>
        <v>-2.0000000000000573E-4</v>
      </c>
      <c r="K24" s="17" t="s">
        <v>1</v>
      </c>
      <c r="L24" s="22" t="s">
        <v>4</v>
      </c>
      <c r="M24" s="20">
        <f t="shared" si="1"/>
        <v>26.900000000000006</v>
      </c>
      <c r="N24" s="19">
        <f t="shared" si="2"/>
        <v>5380.0000000000018</v>
      </c>
      <c r="O24" s="21">
        <v>5.38</v>
      </c>
      <c r="P24" s="7">
        <f t="shared" si="3"/>
        <v>1.6139999999999999</v>
      </c>
      <c r="Q24" s="32" t="s">
        <v>26</v>
      </c>
      <c r="R24" s="2" t="s">
        <v>34</v>
      </c>
      <c r="S24" s="2"/>
      <c r="T24" s="2"/>
      <c r="U24" s="2"/>
      <c r="V24" s="2"/>
      <c r="W24" s="2"/>
    </row>
    <row r="25" spans="1:23" ht="19.5" customHeight="1" x14ac:dyDescent="0.25">
      <c r="A25" s="122" t="s">
        <v>41</v>
      </c>
      <c r="B25" s="129"/>
      <c r="C25" s="130"/>
      <c r="D25" s="129"/>
      <c r="E25" s="130"/>
      <c r="F25" s="130"/>
      <c r="G25" s="129"/>
      <c r="H25" s="41"/>
      <c r="I25" s="40"/>
      <c r="J25" s="40"/>
      <c r="K25" s="40"/>
      <c r="L25" s="2"/>
      <c r="M25" s="2"/>
      <c r="N25" s="42"/>
      <c r="O25" s="43"/>
      <c r="P25" s="7" t="s">
        <v>41</v>
      </c>
      <c r="Q25" s="32" t="s">
        <v>42</v>
      </c>
      <c r="R25" s="2" t="s">
        <v>60</v>
      </c>
      <c r="S25" s="2"/>
      <c r="T25" s="2"/>
      <c r="U25" s="2"/>
      <c r="V25" s="2"/>
      <c r="W25" s="2"/>
    </row>
    <row r="26" spans="1:23" ht="19.5" customHeight="1" x14ac:dyDescent="0.25">
      <c r="A26" s="122" t="s">
        <v>41</v>
      </c>
      <c r="B26" s="129"/>
      <c r="C26" s="130"/>
      <c r="D26" s="129"/>
      <c r="E26" s="130"/>
      <c r="F26" s="130"/>
      <c r="G26" s="129"/>
      <c r="H26" s="41"/>
      <c r="I26" s="40"/>
      <c r="J26" s="40"/>
      <c r="K26" s="40"/>
      <c r="L26" s="2"/>
      <c r="M26" s="2"/>
      <c r="N26" s="2"/>
      <c r="O26" s="43"/>
      <c r="P26" s="7" t="s">
        <v>41</v>
      </c>
      <c r="Q26" s="32" t="s">
        <v>43</v>
      </c>
      <c r="R26" s="2" t="s">
        <v>60</v>
      </c>
      <c r="S26" s="2"/>
      <c r="T26" s="2"/>
      <c r="U26" s="2"/>
      <c r="V26" s="2"/>
      <c r="W26" s="2"/>
    </row>
    <row r="27" spans="1:23" ht="19.5" customHeight="1" x14ac:dyDescent="0.25">
      <c r="A27" s="122" t="s">
        <v>41</v>
      </c>
      <c r="B27" s="129"/>
      <c r="C27" s="130"/>
      <c r="D27" s="129"/>
      <c r="E27" s="130"/>
      <c r="F27" s="130"/>
      <c r="G27" s="129"/>
      <c r="H27" s="41"/>
      <c r="I27" s="40"/>
      <c r="J27" s="40"/>
      <c r="K27" s="40"/>
      <c r="L27" s="2"/>
      <c r="M27" s="2"/>
      <c r="N27" s="2"/>
      <c r="O27" s="43"/>
      <c r="P27" s="7" t="s">
        <v>41</v>
      </c>
      <c r="Q27" s="32" t="s">
        <v>44</v>
      </c>
      <c r="R27" s="2" t="s">
        <v>60</v>
      </c>
      <c r="S27" s="2"/>
      <c r="T27" s="2"/>
      <c r="U27" s="2"/>
      <c r="V27" s="2"/>
      <c r="W27" s="2"/>
    </row>
    <row r="28" spans="1:23" ht="19.5" customHeight="1" x14ac:dyDescent="0.25">
      <c r="A28" s="122" t="s">
        <v>41</v>
      </c>
      <c r="B28" s="129"/>
      <c r="C28" s="130"/>
      <c r="D28" s="129"/>
      <c r="E28" s="130"/>
      <c r="F28" s="130"/>
      <c r="G28" s="129"/>
      <c r="H28" s="41"/>
      <c r="I28" s="40"/>
      <c r="J28" s="40"/>
      <c r="K28" s="40"/>
      <c r="L28" s="2"/>
      <c r="M28" s="2"/>
      <c r="N28" s="2"/>
      <c r="O28" s="43"/>
      <c r="P28" s="7" t="s">
        <v>41</v>
      </c>
      <c r="Q28" s="32" t="s">
        <v>45</v>
      </c>
      <c r="R28" s="2" t="s">
        <v>60</v>
      </c>
      <c r="S28" s="2"/>
      <c r="T28" s="2"/>
      <c r="U28" s="2"/>
      <c r="V28" s="2"/>
      <c r="W28" s="2"/>
    </row>
    <row r="29" spans="1:23" ht="19.5" customHeight="1" x14ac:dyDescent="0.25">
      <c r="A29" s="2" t="s">
        <v>41</v>
      </c>
      <c r="B29" s="39"/>
      <c r="C29" s="40"/>
      <c r="D29" s="39"/>
      <c r="E29" s="40"/>
      <c r="F29" s="40"/>
      <c r="G29" s="39"/>
      <c r="H29" s="41"/>
      <c r="I29" s="40"/>
      <c r="J29" s="40"/>
      <c r="K29" s="40"/>
      <c r="L29" s="2"/>
      <c r="M29" s="2"/>
      <c r="N29" s="2"/>
      <c r="O29" s="43"/>
      <c r="P29" s="7" t="s">
        <v>41</v>
      </c>
      <c r="Q29" s="32" t="s">
        <v>46</v>
      </c>
      <c r="R29" s="2" t="s">
        <v>60</v>
      </c>
      <c r="S29" s="2"/>
      <c r="T29" s="2"/>
      <c r="U29" s="2"/>
      <c r="V29" s="2"/>
      <c r="W29" s="2"/>
    </row>
  </sheetData>
  <sortState xmlns:xlrd2="http://schemas.microsoft.com/office/spreadsheetml/2017/richdata2" ref="A2:W24">
    <sortCondition ref="Q2:Q24"/>
  </sortState>
  <conditionalFormatting sqref="J25 J2:J3 L2 H1:H25 H28:H1048576 J28:J1048576">
    <cfRule type="cellIs" dxfId="3" priority="9" operator="lessThan">
      <formula>0</formula>
    </cfRule>
  </conditionalFormatting>
  <conditionalFormatting sqref="J1">
    <cfRule type="cellIs" dxfId="2" priority="8" operator="lessThan">
      <formula>0</formula>
    </cfRule>
  </conditionalFormatting>
  <conditionalFormatting sqref="H2:H24">
    <cfRule type="cellIs" dxfId="1" priority="17" operator="greaterThan">
      <formula>#REF!</formula>
    </cfRule>
  </conditionalFormatting>
  <conditionalFormatting sqref="J2:J3">
    <cfRule type="cellIs" dxfId="0" priority="18" operator="greaterThan">
      <formula>#REF!</formula>
    </cfRule>
  </conditionalFormatting>
  <pageMargins left="0.25" right="0.25" top="0.75" bottom="0.75" header="0.3" footer="0.3"/>
  <pageSetup scale="9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3FAD2E-F2C7-4FD1-B0C4-DFD93834B413}">
  <sheetPr>
    <pageSetUpPr fitToPage="1"/>
  </sheetPr>
  <dimension ref="A1:G134"/>
  <sheetViews>
    <sheetView topLeftCell="A65" workbookViewId="0">
      <selection activeCell="A126" activeCellId="1" sqref="A82:B82 A126"/>
    </sheetView>
  </sheetViews>
  <sheetFormatPr defaultRowHeight="15" x14ac:dyDescent="0.25"/>
  <cols>
    <col min="1" max="2" width="9.140625" style="46"/>
    <col min="3" max="3" width="19.28515625" style="53" customWidth="1"/>
    <col min="4" max="4" width="11.85546875" style="46" customWidth="1"/>
    <col min="5" max="5" width="12.5703125" style="46" customWidth="1"/>
    <col min="6" max="6" width="13.42578125" style="63" customWidth="1"/>
    <col min="7" max="7" width="9.140625" style="52" bestFit="1" customWidth="1"/>
    <col min="8" max="8" width="6.7109375" style="46" customWidth="1"/>
    <col min="9" max="16384" width="9.140625" style="46"/>
  </cols>
  <sheetData>
    <row r="1" spans="1:7" ht="30" x14ac:dyDescent="0.25">
      <c r="A1" s="54" t="s">
        <v>10</v>
      </c>
      <c r="B1" s="54" t="s">
        <v>59</v>
      </c>
      <c r="C1" s="54" t="s">
        <v>31</v>
      </c>
      <c r="D1" s="54"/>
      <c r="E1" s="12" t="s">
        <v>57</v>
      </c>
      <c r="F1" s="61" t="s">
        <v>66</v>
      </c>
      <c r="G1" s="55" t="s">
        <v>58</v>
      </c>
    </row>
    <row r="2" spans="1:7" x14ac:dyDescent="0.25">
      <c r="A2" s="32" t="s">
        <v>12</v>
      </c>
      <c r="B2" s="32">
        <v>10</v>
      </c>
      <c r="C2" s="9" t="s">
        <v>33</v>
      </c>
      <c r="D2" s="32" t="s">
        <v>4</v>
      </c>
      <c r="E2" s="32" t="s">
        <v>4</v>
      </c>
      <c r="F2" s="62"/>
      <c r="G2" s="47">
        <f>SUM(E3:E5)/10</f>
        <v>0.7</v>
      </c>
    </row>
    <row r="3" spans="1:7" x14ac:dyDescent="0.25">
      <c r="A3" s="32"/>
      <c r="B3" s="32"/>
      <c r="C3" s="9"/>
      <c r="D3" s="32" t="s">
        <v>47</v>
      </c>
      <c r="E3" s="48">
        <v>3</v>
      </c>
      <c r="F3" s="62">
        <f>(E3/10)</f>
        <v>0.3</v>
      </c>
      <c r="G3" s="47"/>
    </row>
    <row r="4" spans="1:7" x14ac:dyDescent="0.25">
      <c r="A4" s="32"/>
      <c r="B4" s="32"/>
      <c r="C4" s="9"/>
      <c r="D4" s="32" t="s">
        <v>48</v>
      </c>
      <c r="E4" s="48">
        <v>4</v>
      </c>
      <c r="F4" s="62">
        <f>(E4)/10</f>
        <v>0.4</v>
      </c>
      <c r="G4" s="47"/>
    </row>
    <row r="5" spans="1:7" x14ac:dyDescent="0.25">
      <c r="A5" s="32"/>
      <c r="B5" s="32"/>
      <c r="C5" s="9"/>
      <c r="D5" s="32" t="s">
        <v>49</v>
      </c>
      <c r="E5" s="48">
        <v>0</v>
      </c>
      <c r="F5" s="62"/>
      <c r="G5" s="47"/>
    </row>
    <row r="6" spans="1:7" x14ac:dyDescent="0.25">
      <c r="A6" s="32"/>
      <c r="B6" s="32"/>
      <c r="C6" s="9"/>
      <c r="D6" s="32"/>
      <c r="E6" s="48"/>
      <c r="F6" s="62"/>
      <c r="G6" s="47"/>
    </row>
    <row r="7" spans="1:7" x14ac:dyDescent="0.25">
      <c r="A7" s="32" t="s">
        <v>13</v>
      </c>
      <c r="B7" s="32">
        <v>20</v>
      </c>
      <c r="C7" s="9" t="s">
        <v>34</v>
      </c>
      <c r="D7" s="32"/>
      <c r="E7" s="48"/>
      <c r="F7" s="62"/>
      <c r="G7" s="47">
        <f>15/20</f>
        <v>0.75</v>
      </c>
    </row>
    <row r="8" spans="1:7" x14ac:dyDescent="0.25">
      <c r="A8" s="32"/>
      <c r="B8" s="32"/>
      <c r="C8" s="9"/>
      <c r="D8" s="32" t="s">
        <v>47</v>
      </c>
      <c r="E8" s="48">
        <v>14</v>
      </c>
      <c r="F8" s="62">
        <f>14/20</f>
        <v>0.7</v>
      </c>
      <c r="G8" s="47"/>
    </row>
    <row r="9" spans="1:7" x14ac:dyDescent="0.25">
      <c r="A9" s="32"/>
      <c r="B9" s="32"/>
      <c r="C9" s="9"/>
      <c r="D9" s="32" t="s">
        <v>48</v>
      </c>
      <c r="E9" s="48">
        <v>1</v>
      </c>
      <c r="F9" s="62">
        <f>1/20</f>
        <v>0.05</v>
      </c>
      <c r="G9" s="47"/>
    </row>
    <row r="10" spans="1:7" x14ac:dyDescent="0.25">
      <c r="A10" s="32"/>
      <c r="B10" s="32"/>
      <c r="C10" s="9"/>
      <c r="D10" s="32" t="s">
        <v>49</v>
      </c>
      <c r="E10" s="48">
        <v>0</v>
      </c>
      <c r="F10" s="62"/>
      <c r="G10" s="47"/>
    </row>
    <row r="11" spans="1:7" x14ac:dyDescent="0.25">
      <c r="A11" s="32"/>
      <c r="B11" s="32"/>
      <c r="C11" s="9"/>
      <c r="D11" s="32"/>
      <c r="E11" s="48"/>
      <c r="F11" s="62">
        <v>0</v>
      </c>
      <c r="G11" s="47"/>
    </row>
    <row r="12" spans="1:7" x14ac:dyDescent="0.25">
      <c r="A12" s="32" t="s">
        <v>14</v>
      </c>
      <c r="B12" s="32">
        <v>40</v>
      </c>
      <c r="C12" s="9" t="s">
        <v>37</v>
      </c>
      <c r="D12" s="32"/>
      <c r="E12" s="48"/>
      <c r="F12" s="62"/>
      <c r="G12" s="47">
        <f>29/40</f>
        <v>0.72499999999999998</v>
      </c>
    </row>
    <row r="13" spans="1:7" x14ac:dyDescent="0.25">
      <c r="A13" s="32"/>
      <c r="B13" s="32"/>
      <c r="C13" s="9"/>
      <c r="D13" s="32" t="s">
        <v>47</v>
      </c>
      <c r="E13" s="48">
        <v>25</v>
      </c>
      <c r="F13" s="62">
        <f>25/40</f>
        <v>0.625</v>
      </c>
      <c r="G13" s="47"/>
    </row>
    <row r="14" spans="1:7" x14ac:dyDescent="0.25">
      <c r="A14" s="32"/>
      <c r="B14" s="32"/>
      <c r="C14" s="9"/>
      <c r="D14" s="32" t="s">
        <v>48</v>
      </c>
      <c r="E14" s="48">
        <v>4</v>
      </c>
      <c r="F14" s="62">
        <f>4/40</f>
        <v>0.1</v>
      </c>
      <c r="G14" s="47"/>
    </row>
    <row r="15" spans="1:7" x14ac:dyDescent="0.25">
      <c r="A15" s="32"/>
      <c r="B15" s="32"/>
      <c r="C15" s="9"/>
      <c r="D15" s="32" t="s">
        <v>49</v>
      </c>
      <c r="E15" s="48">
        <v>0</v>
      </c>
      <c r="F15" s="62"/>
      <c r="G15" s="47"/>
    </row>
    <row r="16" spans="1:7" x14ac:dyDescent="0.25">
      <c r="A16" s="32"/>
      <c r="B16" s="32"/>
      <c r="C16" s="9"/>
      <c r="D16" s="32"/>
      <c r="E16" s="48"/>
      <c r="F16" s="62"/>
      <c r="G16" s="47"/>
    </row>
    <row r="17" spans="1:7" ht="30" x14ac:dyDescent="0.25">
      <c r="A17" s="32" t="s">
        <v>11</v>
      </c>
      <c r="B17" s="32">
        <v>150</v>
      </c>
      <c r="C17" s="9" t="s">
        <v>36</v>
      </c>
      <c r="D17" s="32"/>
      <c r="E17" s="48"/>
      <c r="F17" s="62"/>
      <c r="G17" s="47">
        <f>128/150</f>
        <v>0.85333333333333339</v>
      </c>
    </row>
    <row r="18" spans="1:7" x14ac:dyDescent="0.25">
      <c r="A18" s="32"/>
      <c r="B18" s="32"/>
      <c r="C18" s="9"/>
      <c r="D18" s="32" t="s">
        <v>47</v>
      </c>
      <c r="E18" s="49">
        <v>128</v>
      </c>
      <c r="F18" s="62">
        <f>128/150</f>
        <v>0.85333333333333339</v>
      </c>
      <c r="G18" s="47"/>
    </row>
    <row r="19" spans="1:7" x14ac:dyDescent="0.25">
      <c r="A19" s="32"/>
      <c r="B19" s="32"/>
      <c r="C19" s="9"/>
      <c r="D19" s="32" t="s">
        <v>48</v>
      </c>
      <c r="E19" s="49">
        <v>0</v>
      </c>
      <c r="F19" s="62">
        <v>0</v>
      </c>
      <c r="G19" s="47"/>
    </row>
    <row r="20" spans="1:7" x14ac:dyDescent="0.25">
      <c r="A20" s="32"/>
      <c r="B20" s="32"/>
      <c r="C20" s="9"/>
      <c r="D20" s="32" t="s">
        <v>49</v>
      </c>
      <c r="E20" s="49">
        <v>0</v>
      </c>
      <c r="F20" s="62"/>
      <c r="G20" s="47"/>
    </row>
    <row r="21" spans="1:7" x14ac:dyDescent="0.25">
      <c r="A21" s="32"/>
      <c r="B21" s="32"/>
      <c r="C21" s="9"/>
      <c r="D21" s="32"/>
      <c r="E21" s="49"/>
      <c r="F21" s="62"/>
      <c r="G21" s="47"/>
    </row>
    <row r="22" spans="1:7" x14ac:dyDescent="0.25">
      <c r="A22" s="32" t="s">
        <v>15</v>
      </c>
      <c r="B22" s="32">
        <v>100</v>
      </c>
      <c r="C22" s="9" t="s">
        <v>32</v>
      </c>
      <c r="D22" s="32"/>
      <c r="E22" s="48"/>
      <c r="F22" s="62"/>
      <c r="G22" s="47">
        <f>80/100</f>
        <v>0.8</v>
      </c>
    </row>
    <row r="23" spans="1:7" x14ac:dyDescent="0.25">
      <c r="A23" s="32"/>
      <c r="B23" s="32"/>
      <c r="C23" s="9"/>
      <c r="D23" s="32" t="s">
        <v>47</v>
      </c>
      <c r="E23" s="48">
        <v>72</v>
      </c>
      <c r="F23" s="62">
        <f>72/100</f>
        <v>0.72</v>
      </c>
      <c r="G23" s="47"/>
    </row>
    <row r="24" spans="1:7" x14ac:dyDescent="0.25">
      <c r="A24" s="32"/>
      <c r="B24" s="32"/>
      <c r="C24" s="9"/>
      <c r="D24" s="32" t="s">
        <v>48</v>
      </c>
      <c r="E24" s="48">
        <v>8</v>
      </c>
      <c r="F24" s="62">
        <f>8/100</f>
        <v>0.08</v>
      </c>
      <c r="G24" s="47"/>
    </row>
    <row r="25" spans="1:7" x14ac:dyDescent="0.25">
      <c r="A25" s="32"/>
      <c r="B25" s="32"/>
      <c r="C25" s="9"/>
      <c r="D25" s="32" t="s">
        <v>49</v>
      </c>
      <c r="E25" s="48">
        <v>0</v>
      </c>
      <c r="F25" s="62"/>
      <c r="G25" s="47"/>
    </row>
    <row r="26" spans="1:7" x14ac:dyDescent="0.25">
      <c r="A26" s="32"/>
      <c r="B26" s="32"/>
      <c r="C26" s="9"/>
      <c r="D26" s="32"/>
      <c r="E26" s="48"/>
      <c r="F26" s="62"/>
      <c r="G26" s="47"/>
    </row>
    <row r="27" spans="1:7" x14ac:dyDescent="0.25">
      <c r="A27" s="32" t="s">
        <v>16</v>
      </c>
      <c r="B27" s="32">
        <v>10</v>
      </c>
      <c r="C27" s="9" t="s">
        <v>38</v>
      </c>
      <c r="D27" s="32" t="s">
        <v>4</v>
      </c>
      <c r="E27" s="48"/>
      <c r="F27" s="62"/>
      <c r="G27" s="47">
        <f>3/10</f>
        <v>0.3</v>
      </c>
    </row>
    <row r="28" spans="1:7" x14ac:dyDescent="0.25">
      <c r="A28" s="32"/>
      <c r="B28" s="32"/>
      <c r="C28" s="9"/>
      <c r="D28" s="32" t="s">
        <v>47</v>
      </c>
      <c r="E28" s="48">
        <v>2</v>
      </c>
      <c r="F28" s="62">
        <f>2/10</f>
        <v>0.2</v>
      </c>
      <c r="G28" s="47"/>
    </row>
    <row r="29" spans="1:7" x14ac:dyDescent="0.25">
      <c r="A29" s="32"/>
      <c r="B29" s="32"/>
      <c r="C29" s="9"/>
      <c r="D29" s="32" t="s">
        <v>48</v>
      </c>
      <c r="E29" s="48">
        <v>1</v>
      </c>
      <c r="F29" s="62">
        <f>1/10</f>
        <v>0.1</v>
      </c>
      <c r="G29" s="47"/>
    </row>
    <row r="30" spans="1:7" x14ac:dyDescent="0.25">
      <c r="A30" s="32"/>
      <c r="B30" s="32"/>
      <c r="C30" s="9"/>
      <c r="D30" s="32" t="s">
        <v>49</v>
      </c>
      <c r="E30" s="48">
        <v>0</v>
      </c>
      <c r="F30" s="62"/>
      <c r="G30" s="47"/>
    </row>
    <row r="31" spans="1:7" x14ac:dyDescent="0.25">
      <c r="A31" s="32"/>
      <c r="B31" s="32"/>
      <c r="C31" s="9"/>
      <c r="D31" s="32"/>
      <c r="E31" s="48"/>
      <c r="F31" s="62"/>
      <c r="G31" s="47"/>
    </row>
    <row r="32" spans="1:7" x14ac:dyDescent="0.25">
      <c r="A32" s="32" t="s">
        <v>17</v>
      </c>
      <c r="B32" s="32">
        <v>150</v>
      </c>
      <c r="C32" s="9" t="s">
        <v>34</v>
      </c>
      <c r="D32" s="32"/>
      <c r="E32" s="48"/>
      <c r="F32" s="62"/>
      <c r="G32" s="47">
        <f>132/150</f>
        <v>0.88</v>
      </c>
    </row>
    <row r="33" spans="1:7" x14ac:dyDescent="0.25">
      <c r="A33" s="32"/>
      <c r="B33" s="32"/>
      <c r="C33" s="9"/>
      <c r="D33" s="32" t="s">
        <v>47</v>
      </c>
      <c r="E33" s="48">
        <v>126</v>
      </c>
      <c r="F33" s="62">
        <f>126/150</f>
        <v>0.84</v>
      </c>
      <c r="G33" s="47"/>
    </row>
    <row r="34" spans="1:7" x14ac:dyDescent="0.25">
      <c r="A34" s="32"/>
      <c r="B34" s="32"/>
      <c r="C34" s="9"/>
      <c r="D34" s="32" t="s">
        <v>48</v>
      </c>
      <c r="E34" s="48">
        <v>6</v>
      </c>
      <c r="F34" s="62">
        <f>6/150</f>
        <v>0.04</v>
      </c>
      <c r="G34" s="47"/>
    </row>
    <row r="35" spans="1:7" x14ac:dyDescent="0.25">
      <c r="A35" s="32"/>
      <c r="B35" s="32"/>
      <c r="C35" s="9"/>
      <c r="D35" s="32" t="s">
        <v>49</v>
      </c>
      <c r="E35" s="48">
        <v>0</v>
      </c>
      <c r="F35" s="62"/>
      <c r="G35" s="47"/>
    </row>
    <row r="36" spans="1:7" x14ac:dyDescent="0.25">
      <c r="A36" s="32"/>
      <c r="B36" s="32"/>
      <c r="C36" s="9"/>
      <c r="D36" s="32"/>
      <c r="E36" s="48"/>
      <c r="F36" s="62"/>
      <c r="G36" s="47"/>
    </row>
    <row r="37" spans="1:7" ht="30" x14ac:dyDescent="0.25">
      <c r="A37" s="32" t="s">
        <v>18</v>
      </c>
      <c r="B37" s="32">
        <v>20</v>
      </c>
      <c r="C37" s="9" t="s">
        <v>35</v>
      </c>
      <c r="D37" s="32"/>
      <c r="E37" s="48"/>
      <c r="F37" s="62"/>
      <c r="G37" s="47">
        <f>15/20</f>
        <v>0.75</v>
      </c>
    </row>
    <row r="38" spans="1:7" x14ac:dyDescent="0.25">
      <c r="A38" s="32"/>
      <c r="B38" s="32"/>
      <c r="C38" s="9"/>
      <c r="D38" s="32" t="s">
        <v>47</v>
      </c>
      <c r="E38" s="48">
        <v>11</v>
      </c>
      <c r="F38" s="62">
        <f>11/20</f>
        <v>0.55000000000000004</v>
      </c>
      <c r="G38" s="47"/>
    </row>
    <row r="39" spans="1:7" x14ac:dyDescent="0.25">
      <c r="A39" s="32"/>
      <c r="B39" s="32"/>
      <c r="C39" s="9"/>
      <c r="D39" s="32" t="s">
        <v>48</v>
      </c>
      <c r="E39" s="48">
        <v>4</v>
      </c>
      <c r="F39" s="62">
        <f>4/20</f>
        <v>0.2</v>
      </c>
      <c r="G39" s="47"/>
    </row>
    <row r="40" spans="1:7" x14ac:dyDescent="0.25">
      <c r="A40" s="32"/>
      <c r="B40" s="32"/>
      <c r="C40" s="9"/>
      <c r="D40" s="32" t="s">
        <v>49</v>
      </c>
      <c r="E40" s="48">
        <v>0</v>
      </c>
      <c r="F40" s="62"/>
      <c r="G40" s="47"/>
    </row>
    <row r="41" spans="1:7" x14ac:dyDescent="0.25">
      <c r="A41" s="32"/>
      <c r="B41" s="32"/>
      <c r="C41" s="9"/>
      <c r="D41" s="32"/>
      <c r="E41" s="48"/>
      <c r="F41" s="62"/>
      <c r="G41" s="47"/>
    </row>
    <row r="42" spans="1:7" x14ac:dyDescent="0.25">
      <c r="A42" s="32" t="s">
        <v>19</v>
      </c>
      <c r="B42" s="32">
        <v>100</v>
      </c>
      <c r="C42" s="9" t="s">
        <v>33</v>
      </c>
      <c r="D42" s="32"/>
      <c r="E42" s="48"/>
      <c r="F42" s="62"/>
      <c r="G42" s="47">
        <f>35/100</f>
        <v>0.35</v>
      </c>
    </row>
    <row r="43" spans="1:7" x14ac:dyDescent="0.25">
      <c r="A43" s="32"/>
      <c r="B43" s="32"/>
      <c r="C43" s="9"/>
      <c r="D43" s="32" t="s">
        <v>47</v>
      </c>
      <c r="E43" s="48">
        <v>19</v>
      </c>
      <c r="F43" s="62">
        <f>19/100</f>
        <v>0.19</v>
      </c>
      <c r="G43" s="47" t="s">
        <v>4</v>
      </c>
    </row>
    <row r="44" spans="1:7" x14ac:dyDescent="0.25">
      <c r="A44" s="32"/>
      <c r="B44" s="32"/>
      <c r="C44" s="9"/>
      <c r="D44" s="32" t="s">
        <v>48</v>
      </c>
      <c r="E44" s="48">
        <v>16</v>
      </c>
      <c r="F44" s="62">
        <f>16/100</f>
        <v>0.16</v>
      </c>
      <c r="G44" s="47"/>
    </row>
    <row r="45" spans="1:7" x14ac:dyDescent="0.25">
      <c r="A45" s="32"/>
      <c r="B45" s="32"/>
      <c r="C45" s="9"/>
      <c r="D45" s="32" t="s">
        <v>49</v>
      </c>
      <c r="E45" s="48">
        <v>0</v>
      </c>
      <c r="F45" s="62"/>
      <c r="G45" s="47"/>
    </row>
    <row r="46" spans="1:7" x14ac:dyDescent="0.25">
      <c r="A46" s="32"/>
      <c r="B46" s="32"/>
      <c r="C46" s="9"/>
      <c r="D46" s="32"/>
      <c r="E46" s="48"/>
      <c r="F46" s="62"/>
      <c r="G46" s="47"/>
    </row>
    <row r="47" spans="1:7" x14ac:dyDescent="0.25">
      <c r="A47" s="32" t="s">
        <v>20</v>
      </c>
      <c r="B47" s="32">
        <v>40</v>
      </c>
      <c r="C47" s="9" t="s">
        <v>38</v>
      </c>
      <c r="D47" s="32"/>
      <c r="E47" s="48"/>
      <c r="F47" s="62"/>
      <c r="G47" s="47">
        <f>10/40</f>
        <v>0.25</v>
      </c>
    </row>
    <row r="48" spans="1:7" x14ac:dyDescent="0.25">
      <c r="A48" s="32"/>
      <c r="B48" s="32"/>
      <c r="C48" s="9"/>
      <c r="D48" s="32" t="s">
        <v>47</v>
      </c>
      <c r="E48" s="48">
        <v>2</v>
      </c>
      <c r="F48" s="62">
        <f>2/40</f>
        <v>0.05</v>
      </c>
      <c r="G48" s="47"/>
    </row>
    <row r="49" spans="1:7" x14ac:dyDescent="0.25">
      <c r="A49" s="32"/>
      <c r="B49" s="32"/>
      <c r="C49" s="9"/>
      <c r="D49" s="32" t="s">
        <v>48</v>
      </c>
      <c r="E49" s="48">
        <v>8</v>
      </c>
      <c r="F49" s="62">
        <f>8/40</f>
        <v>0.2</v>
      </c>
      <c r="G49" s="47"/>
    </row>
    <row r="50" spans="1:7" x14ac:dyDescent="0.25">
      <c r="A50" s="32"/>
      <c r="B50" s="32"/>
      <c r="C50" s="9"/>
      <c r="D50" s="32" t="s">
        <v>49</v>
      </c>
      <c r="E50" s="48">
        <v>0</v>
      </c>
      <c r="F50" s="62"/>
      <c r="G50" s="47"/>
    </row>
    <row r="51" spans="1:7" x14ac:dyDescent="0.25">
      <c r="A51" s="32"/>
      <c r="B51" s="32"/>
      <c r="C51" s="9"/>
      <c r="D51" s="32"/>
      <c r="E51" s="48"/>
      <c r="F51" s="62"/>
      <c r="G51" s="47"/>
    </row>
    <row r="52" spans="1:7" x14ac:dyDescent="0.25">
      <c r="A52" s="32" t="s">
        <v>24</v>
      </c>
      <c r="B52" s="32">
        <v>10</v>
      </c>
      <c r="C52" s="9" t="s">
        <v>33</v>
      </c>
      <c r="D52" s="32"/>
      <c r="E52" s="48"/>
      <c r="F52" s="62"/>
      <c r="G52" s="47">
        <f>1/10</f>
        <v>0.1</v>
      </c>
    </row>
    <row r="53" spans="1:7" x14ac:dyDescent="0.25">
      <c r="A53" s="32"/>
      <c r="B53" s="32"/>
      <c r="C53" s="9"/>
      <c r="D53" s="32" t="s">
        <v>47</v>
      </c>
      <c r="E53" s="48">
        <v>0</v>
      </c>
      <c r="F53" s="62">
        <f>0/10</f>
        <v>0</v>
      </c>
      <c r="G53" s="47"/>
    </row>
    <row r="54" spans="1:7" x14ac:dyDescent="0.25">
      <c r="A54" s="32"/>
      <c r="B54" s="32"/>
      <c r="C54" s="9"/>
      <c r="D54" s="32" t="s">
        <v>48</v>
      </c>
      <c r="E54" s="48">
        <v>1</v>
      </c>
      <c r="F54" s="62">
        <f>1/10</f>
        <v>0.1</v>
      </c>
      <c r="G54" s="47"/>
    </row>
    <row r="55" spans="1:7" x14ac:dyDescent="0.25">
      <c r="A55" s="32"/>
      <c r="B55" s="32"/>
      <c r="C55" s="9"/>
      <c r="D55" s="32" t="s">
        <v>49</v>
      </c>
      <c r="E55" s="48">
        <v>0</v>
      </c>
      <c r="F55" s="62"/>
      <c r="G55" s="47"/>
    </row>
    <row r="56" spans="1:7" x14ac:dyDescent="0.25">
      <c r="A56" s="32"/>
      <c r="B56" s="32"/>
      <c r="C56" s="9"/>
      <c r="D56" s="32"/>
      <c r="E56" s="48"/>
      <c r="F56" s="62"/>
      <c r="G56" s="47"/>
    </row>
    <row r="57" spans="1:7" ht="30" x14ac:dyDescent="0.25">
      <c r="A57" s="32" t="s">
        <v>22</v>
      </c>
      <c r="B57" s="32">
        <v>40</v>
      </c>
      <c r="C57" s="9" t="s">
        <v>39</v>
      </c>
      <c r="D57" s="32"/>
      <c r="E57" s="48"/>
      <c r="F57" s="62"/>
      <c r="G57" s="47">
        <f>6/40</f>
        <v>0.15</v>
      </c>
    </row>
    <row r="58" spans="1:7" x14ac:dyDescent="0.25">
      <c r="A58" s="32"/>
      <c r="B58" s="32"/>
      <c r="C58" s="9"/>
      <c r="D58" s="32" t="s">
        <v>47</v>
      </c>
      <c r="E58" s="48">
        <v>4</v>
      </c>
      <c r="F58" s="62">
        <f>4/40</f>
        <v>0.1</v>
      </c>
      <c r="G58" s="47"/>
    </row>
    <row r="59" spans="1:7" x14ac:dyDescent="0.25">
      <c r="A59" s="32"/>
      <c r="B59" s="32"/>
      <c r="C59" s="9"/>
      <c r="D59" s="32" t="s">
        <v>48</v>
      </c>
      <c r="E59" s="48">
        <v>1</v>
      </c>
      <c r="F59" s="62">
        <f>1/40</f>
        <v>2.5000000000000001E-2</v>
      </c>
      <c r="G59" s="47"/>
    </row>
    <row r="60" spans="1:7" x14ac:dyDescent="0.25">
      <c r="A60" s="32"/>
      <c r="B60" s="32"/>
      <c r="C60" s="9"/>
      <c r="D60" s="32" t="s">
        <v>49</v>
      </c>
      <c r="E60" s="48">
        <v>1</v>
      </c>
      <c r="F60" s="62">
        <f>1/40</f>
        <v>2.5000000000000001E-2</v>
      </c>
      <c r="G60" s="47"/>
    </row>
    <row r="61" spans="1:7" x14ac:dyDescent="0.25">
      <c r="A61" s="32"/>
      <c r="B61" s="32"/>
      <c r="C61" s="9"/>
      <c r="D61" s="32"/>
      <c r="E61" s="48"/>
      <c r="F61" s="62"/>
      <c r="G61" s="47"/>
    </row>
    <row r="62" spans="1:7" ht="30" x14ac:dyDescent="0.25">
      <c r="A62" s="32" t="s">
        <v>23</v>
      </c>
      <c r="B62" s="32">
        <v>20</v>
      </c>
      <c r="C62" s="9" t="s">
        <v>40</v>
      </c>
      <c r="D62" s="32"/>
      <c r="E62" s="48"/>
      <c r="F62" s="62"/>
      <c r="G62" s="47">
        <f>7/20</f>
        <v>0.35</v>
      </c>
    </row>
    <row r="63" spans="1:7" x14ac:dyDescent="0.25">
      <c r="A63" s="32"/>
      <c r="B63" s="32"/>
      <c r="C63" s="9"/>
      <c r="D63" s="32" t="s">
        <v>47</v>
      </c>
      <c r="E63" s="48">
        <v>5</v>
      </c>
      <c r="F63" s="62">
        <f>5/20</f>
        <v>0.25</v>
      </c>
      <c r="G63" s="47"/>
    </row>
    <row r="64" spans="1:7" x14ac:dyDescent="0.25">
      <c r="A64" s="32"/>
      <c r="B64" s="32"/>
      <c r="C64" s="9"/>
      <c r="D64" s="32" t="s">
        <v>48</v>
      </c>
      <c r="E64" s="48">
        <v>2</v>
      </c>
      <c r="F64" s="62">
        <f>2/20</f>
        <v>0.1</v>
      </c>
      <c r="G64" s="47"/>
    </row>
    <row r="65" spans="1:7" x14ac:dyDescent="0.25">
      <c r="A65" s="32"/>
      <c r="B65" s="32"/>
      <c r="C65" s="9"/>
      <c r="D65" s="32" t="s">
        <v>49</v>
      </c>
      <c r="E65" s="48">
        <v>0</v>
      </c>
      <c r="F65" s="62"/>
      <c r="G65" s="47"/>
    </row>
    <row r="66" spans="1:7" x14ac:dyDescent="0.25">
      <c r="A66" s="32"/>
      <c r="B66" s="32"/>
      <c r="C66" s="9"/>
      <c r="D66" s="32"/>
      <c r="E66" s="48"/>
      <c r="F66" s="62"/>
      <c r="G66" s="47"/>
    </row>
    <row r="67" spans="1:7" x14ac:dyDescent="0.25">
      <c r="A67" s="32" t="s">
        <v>21</v>
      </c>
      <c r="B67" s="32">
        <v>150</v>
      </c>
      <c r="C67" s="9" t="s">
        <v>33</v>
      </c>
      <c r="D67" s="32"/>
      <c r="E67" s="48"/>
      <c r="F67" s="62"/>
      <c r="G67" s="47">
        <f>67/150</f>
        <v>0.44666666666666666</v>
      </c>
    </row>
    <row r="68" spans="1:7" x14ac:dyDescent="0.25">
      <c r="A68" s="32"/>
      <c r="B68" s="32"/>
      <c r="C68" s="9"/>
      <c r="D68" s="32" t="s">
        <v>47</v>
      </c>
      <c r="E68" s="48">
        <v>35</v>
      </c>
      <c r="F68" s="62">
        <f>35/150</f>
        <v>0.23333333333333334</v>
      </c>
      <c r="G68" s="47"/>
    </row>
    <row r="69" spans="1:7" x14ac:dyDescent="0.25">
      <c r="A69" s="32"/>
      <c r="B69" s="32"/>
      <c r="C69" s="9"/>
      <c r="D69" s="32" t="s">
        <v>48</v>
      </c>
      <c r="E69" s="48">
        <v>31</v>
      </c>
      <c r="F69" s="62">
        <f>31/150</f>
        <v>0.20666666666666667</v>
      </c>
      <c r="G69" s="47"/>
    </row>
    <row r="70" spans="1:7" x14ac:dyDescent="0.25">
      <c r="A70" s="32"/>
      <c r="B70" s="32"/>
      <c r="C70" s="9"/>
      <c r="D70" s="32" t="s">
        <v>49</v>
      </c>
      <c r="E70" s="48">
        <v>1</v>
      </c>
      <c r="F70" s="62">
        <f>1/150</f>
        <v>6.6666666666666671E-3</v>
      </c>
      <c r="G70" s="47"/>
    </row>
    <row r="71" spans="1:7" x14ac:dyDescent="0.25">
      <c r="A71" s="32"/>
      <c r="B71" s="32"/>
      <c r="C71" s="9"/>
      <c r="D71" s="32"/>
      <c r="E71" s="48"/>
      <c r="F71" s="62"/>
      <c r="G71" s="47"/>
    </row>
    <row r="72" spans="1:7" x14ac:dyDescent="0.25">
      <c r="A72" s="32" t="s">
        <v>25</v>
      </c>
      <c r="B72" s="32">
        <v>100</v>
      </c>
      <c r="C72" s="9" t="s">
        <v>33</v>
      </c>
      <c r="D72" s="32"/>
      <c r="E72" s="48"/>
      <c r="F72" s="62"/>
      <c r="G72" s="47">
        <f>33/100</f>
        <v>0.33</v>
      </c>
    </row>
    <row r="73" spans="1:7" x14ac:dyDescent="0.25">
      <c r="A73" s="32"/>
      <c r="B73" s="32"/>
      <c r="C73" s="9"/>
      <c r="D73" s="32" t="s">
        <v>47</v>
      </c>
      <c r="E73" s="48">
        <v>15</v>
      </c>
      <c r="F73" s="62">
        <f>15/100</f>
        <v>0.15</v>
      </c>
      <c r="G73" s="47"/>
    </row>
    <row r="74" spans="1:7" x14ac:dyDescent="0.25">
      <c r="A74" s="32"/>
      <c r="B74" s="32"/>
      <c r="C74" s="9"/>
      <c r="D74" s="32" t="s">
        <v>48</v>
      </c>
      <c r="E74" s="48">
        <v>18</v>
      </c>
      <c r="F74" s="62">
        <f>18/100</f>
        <v>0.18</v>
      </c>
      <c r="G74" s="47"/>
    </row>
    <row r="75" spans="1:7" x14ac:dyDescent="0.25">
      <c r="A75" s="32"/>
      <c r="B75" s="32"/>
      <c r="C75" s="9"/>
      <c r="D75" s="32" t="s">
        <v>49</v>
      </c>
      <c r="E75" s="48">
        <v>0</v>
      </c>
      <c r="F75" s="62"/>
      <c r="G75" s="47"/>
    </row>
    <row r="76" spans="1:7" x14ac:dyDescent="0.25">
      <c r="A76" s="32"/>
      <c r="B76" s="32"/>
      <c r="C76" s="9"/>
      <c r="D76" s="32"/>
      <c r="E76" s="48"/>
      <c r="F76" s="62"/>
      <c r="G76" s="47"/>
    </row>
    <row r="77" spans="1:7" x14ac:dyDescent="0.25">
      <c r="A77" s="32" t="s">
        <v>28</v>
      </c>
      <c r="B77" s="32">
        <v>20</v>
      </c>
      <c r="C77" s="9" t="s">
        <v>33</v>
      </c>
      <c r="D77" s="32"/>
      <c r="E77" s="48"/>
      <c r="F77" s="62"/>
      <c r="G77" s="47">
        <f>7/20</f>
        <v>0.35</v>
      </c>
    </row>
    <row r="78" spans="1:7" x14ac:dyDescent="0.25">
      <c r="A78" s="32"/>
      <c r="B78" s="32"/>
      <c r="C78" s="9"/>
      <c r="D78" s="32" t="s">
        <v>47</v>
      </c>
      <c r="E78" s="48">
        <v>6</v>
      </c>
      <c r="F78" s="62">
        <f>6/20</f>
        <v>0.3</v>
      </c>
      <c r="G78" s="47"/>
    </row>
    <row r="79" spans="1:7" x14ac:dyDescent="0.25">
      <c r="A79" s="32"/>
      <c r="B79" s="32"/>
      <c r="C79" s="9"/>
      <c r="D79" s="32" t="s">
        <v>48</v>
      </c>
      <c r="E79" s="48">
        <v>1</v>
      </c>
      <c r="F79" s="62">
        <f>1/20</f>
        <v>0.05</v>
      </c>
      <c r="G79" s="47"/>
    </row>
    <row r="80" spans="1:7" x14ac:dyDescent="0.25">
      <c r="A80" s="32"/>
      <c r="B80" s="32"/>
      <c r="C80" s="9"/>
      <c r="D80" s="32" t="s">
        <v>49</v>
      </c>
      <c r="E80" s="48">
        <v>0</v>
      </c>
      <c r="F80" s="62"/>
      <c r="G80" s="47"/>
    </row>
    <row r="81" spans="1:7" x14ac:dyDescent="0.25">
      <c r="A81" s="32"/>
      <c r="B81" s="32"/>
      <c r="C81" s="9"/>
      <c r="D81" s="32"/>
      <c r="E81" s="48"/>
      <c r="F81" s="62"/>
      <c r="G81" s="47"/>
    </row>
    <row r="82" spans="1:7" x14ac:dyDescent="0.25">
      <c r="A82" s="157" t="s">
        <v>50</v>
      </c>
      <c r="B82" s="157">
        <v>100</v>
      </c>
      <c r="C82" s="9" t="s">
        <v>34</v>
      </c>
      <c r="D82" s="32"/>
      <c r="E82" s="48"/>
      <c r="F82" s="62" t="s">
        <v>4</v>
      </c>
      <c r="G82" s="47" t="s">
        <v>41</v>
      </c>
    </row>
    <row r="83" spans="1:7" x14ac:dyDescent="0.25">
      <c r="A83" s="32"/>
      <c r="B83" s="32"/>
      <c r="C83" s="9"/>
      <c r="D83" s="32" t="s">
        <v>47</v>
      </c>
      <c r="E83" s="48" t="s">
        <v>41</v>
      </c>
      <c r="F83" s="62" t="s">
        <v>41</v>
      </c>
      <c r="G83" s="47"/>
    </row>
    <row r="84" spans="1:7" x14ac:dyDescent="0.25">
      <c r="A84" s="32"/>
      <c r="B84" s="32"/>
      <c r="C84" s="9"/>
      <c r="D84" s="32" t="s">
        <v>48</v>
      </c>
      <c r="E84" s="48" t="s">
        <v>41</v>
      </c>
      <c r="F84" s="62"/>
      <c r="G84" s="47"/>
    </row>
    <row r="85" spans="1:7" x14ac:dyDescent="0.25">
      <c r="A85" s="32"/>
      <c r="B85" s="32"/>
      <c r="C85" s="9"/>
      <c r="D85" s="32" t="s">
        <v>49</v>
      </c>
      <c r="E85" s="48" t="s">
        <v>1</v>
      </c>
      <c r="F85" s="62"/>
      <c r="G85" s="47"/>
    </row>
    <row r="86" spans="1:7" x14ac:dyDescent="0.25">
      <c r="A86" s="32"/>
      <c r="B86" s="32"/>
      <c r="C86" s="9"/>
      <c r="D86" s="32"/>
      <c r="E86" s="48"/>
      <c r="F86" s="62"/>
      <c r="G86" s="47"/>
    </row>
    <row r="87" spans="1:7" x14ac:dyDescent="0.25">
      <c r="A87" s="32" t="s">
        <v>29</v>
      </c>
      <c r="B87" s="32">
        <v>10</v>
      </c>
      <c r="C87" s="9" t="s">
        <v>33</v>
      </c>
      <c r="D87" s="32" t="s">
        <v>4</v>
      </c>
      <c r="E87" s="48"/>
      <c r="F87" s="62"/>
      <c r="G87" s="47">
        <f>3/10</f>
        <v>0.3</v>
      </c>
    </row>
    <row r="88" spans="1:7" x14ac:dyDescent="0.25">
      <c r="A88" s="32"/>
      <c r="B88" s="32"/>
      <c r="C88" s="9"/>
      <c r="D88" s="32" t="s">
        <v>47</v>
      </c>
      <c r="E88" s="48">
        <v>2</v>
      </c>
      <c r="F88" s="62">
        <f>2/10</f>
        <v>0.2</v>
      </c>
      <c r="G88" s="47"/>
    </row>
    <row r="89" spans="1:7" x14ac:dyDescent="0.25">
      <c r="A89" s="32"/>
      <c r="B89" s="32"/>
      <c r="C89" s="9"/>
      <c r="D89" s="32" t="s">
        <v>48</v>
      </c>
      <c r="E89" s="48">
        <v>1</v>
      </c>
      <c r="F89" s="62">
        <f>1/10</f>
        <v>0.1</v>
      </c>
      <c r="G89" s="47"/>
    </row>
    <row r="90" spans="1:7" x14ac:dyDescent="0.25">
      <c r="A90" s="32"/>
      <c r="B90" s="32"/>
      <c r="C90" s="9"/>
      <c r="D90" s="32" t="s">
        <v>49</v>
      </c>
      <c r="E90" s="48">
        <v>0</v>
      </c>
      <c r="F90" s="62"/>
      <c r="G90" s="47"/>
    </row>
    <row r="91" spans="1:7" x14ac:dyDescent="0.25">
      <c r="A91" s="32"/>
      <c r="B91" s="32"/>
      <c r="C91" s="9"/>
      <c r="D91" s="32"/>
      <c r="E91" s="48"/>
      <c r="F91" s="62"/>
      <c r="G91" s="47"/>
    </row>
    <row r="92" spans="1:7" x14ac:dyDescent="0.25">
      <c r="A92" s="32" t="s">
        <v>27</v>
      </c>
      <c r="B92" s="32">
        <v>40</v>
      </c>
      <c r="C92" s="9" t="s">
        <v>38</v>
      </c>
      <c r="D92" s="32"/>
      <c r="E92" s="48"/>
      <c r="F92" s="62"/>
      <c r="G92" s="47">
        <f>8/40</f>
        <v>0.2</v>
      </c>
    </row>
    <row r="93" spans="1:7" x14ac:dyDescent="0.25">
      <c r="A93" s="32"/>
      <c r="B93" s="32"/>
      <c r="C93" s="9"/>
      <c r="D93" s="44" t="s">
        <v>47</v>
      </c>
      <c r="E93" s="49">
        <v>4</v>
      </c>
      <c r="F93" s="62">
        <f>4/40</f>
        <v>0.1</v>
      </c>
      <c r="G93" s="50"/>
    </row>
    <row r="94" spans="1:7" x14ac:dyDescent="0.25">
      <c r="A94" s="32"/>
      <c r="B94" s="32"/>
      <c r="C94" s="9"/>
      <c r="D94" s="44" t="s">
        <v>48</v>
      </c>
      <c r="E94" s="49">
        <v>4</v>
      </c>
      <c r="F94" s="62">
        <f>4/40</f>
        <v>0.1</v>
      </c>
      <c r="G94" s="50"/>
    </row>
    <row r="95" spans="1:7" x14ac:dyDescent="0.25">
      <c r="A95" s="32"/>
      <c r="B95" s="32"/>
      <c r="C95" s="9"/>
      <c r="D95" s="44" t="s">
        <v>49</v>
      </c>
      <c r="E95" s="49">
        <v>0</v>
      </c>
      <c r="F95" s="62"/>
      <c r="G95" s="50"/>
    </row>
    <row r="96" spans="1:7" x14ac:dyDescent="0.25">
      <c r="A96" s="32"/>
      <c r="B96" s="32"/>
      <c r="C96" s="9"/>
      <c r="D96" s="44"/>
      <c r="E96" s="49"/>
      <c r="F96" s="62"/>
      <c r="G96" s="50"/>
    </row>
    <row r="97" spans="1:7" x14ac:dyDescent="0.25">
      <c r="A97" s="32" t="s">
        <v>26</v>
      </c>
      <c r="B97" s="32">
        <v>150</v>
      </c>
      <c r="C97" s="9" t="s">
        <v>34</v>
      </c>
      <c r="D97" s="32"/>
      <c r="E97" s="48"/>
      <c r="F97" s="62"/>
      <c r="G97" s="47">
        <f>95/150</f>
        <v>0.6333333333333333</v>
      </c>
    </row>
    <row r="98" spans="1:7" x14ac:dyDescent="0.25">
      <c r="A98" s="32"/>
      <c r="B98" s="32"/>
      <c r="C98" s="9"/>
      <c r="D98" s="32" t="s">
        <v>47</v>
      </c>
      <c r="E98" s="48">
        <v>76</v>
      </c>
      <c r="F98" s="62">
        <f>76/150</f>
        <v>0.50666666666666671</v>
      </c>
      <c r="G98" s="47"/>
    </row>
    <row r="99" spans="1:7" x14ac:dyDescent="0.25">
      <c r="A99" s="32"/>
      <c r="B99" s="32"/>
      <c r="C99" s="9"/>
      <c r="D99" s="32" t="s">
        <v>48</v>
      </c>
      <c r="E99" s="48">
        <v>19</v>
      </c>
      <c r="F99" s="62">
        <f>19/150</f>
        <v>0.12666666666666668</v>
      </c>
      <c r="G99" s="47"/>
    </row>
    <row r="100" spans="1:7" x14ac:dyDescent="0.25">
      <c r="A100" s="32"/>
      <c r="B100" s="32"/>
      <c r="C100" s="9"/>
      <c r="D100" s="32" t="s">
        <v>49</v>
      </c>
      <c r="E100" s="48">
        <v>0</v>
      </c>
      <c r="F100" s="62"/>
      <c r="G100" s="47"/>
    </row>
    <row r="101" spans="1:7" x14ac:dyDescent="0.25">
      <c r="A101" s="32"/>
      <c r="B101" s="32"/>
      <c r="C101" s="9"/>
      <c r="D101" s="32"/>
      <c r="E101" s="48"/>
      <c r="F101" s="62"/>
      <c r="G101" s="47"/>
    </row>
    <row r="102" spans="1:7" ht="30" x14ac:dyDescent="0.25">
      <c r="A102" s="32" t="s">
        <v>42</v>
      </c>
      <c r="B102" s="32">
        <v>10</v>
      </c>
      <c r="C102" s="9" t="s">
        <v>60</v>
      </c>
      <c r="D102" s="32" t="s">
        <v>4</v>
      </c>
      <c r="E102" s="48"/>
      <c r="F102" s="62"/>
      <c r="G102" s="47">
        <f>1/10</f>
        <v>0.1</v>
      </c>
    </row>
    <row r="103" spans="1:7" x14ac:dyDescent="0.25">
      <c r="A103" s="32"/>
      <c r="B103" s="32"/>
      <c r="C103" s="9"/>
      <c r="D103" s="32" t="s">
        <v>47</v>
      </c>
      <c r="E103" s="48">
        <v>0</v>
      </c>
      <c r="F103" s="62">
        <f>0/10</f>
        <v>0</v>
      </c>
      <c r="G103" s="47"/>
    </row>
    <row r="104" spans="1:7" x14ac:dyDescent="0.25">
      <c r="A104" s="32"/>
      <c r="B104" s="32"/>
      <c r="C104" s="9"/>
      <c r="D104" s="32" t="s">
        <v>48</v>
      </c>
      <c r="E104" s="48">
        <v>1</v>
      </c>
      <c r="F104" s="62">
        <f>1/10</f>
        <v>0.1</v>
      </c>
      <c r="G104" s="47"/>
    </row>
    <row r="105" spans="1:7" x14ac:dyDescent="0.25">
      <c r="A105" s="32"/>
      <c r="B105" s="32"/>
      <c r="C105" s="9"/>
      <c r="D105" s="32" t="s">
        <v>49</v>
      </c>
      <c r="E105" s="48">
        <v>0</v>
      </c>
      <c r="F105" s="62"/>
      <c r="G105" s="47"/>
    </row>
    <row r="106" spans="1:7" x14ac:dyDescent="0.25">
      <c r="A106" s="32"/>
      <c r="B106" s="32"/>
      <c r="C106" s="9"/>
      <c r="D106" s="32"/>
      <c r="E106" s="48"/>
      <c r="F106" s="62"/>
      <c r="G106" s="47"/>
    </row>
    <row r="107" spans="1:7" ht="30" x14ac:dyDescent="0.25">
      <c r="A107" s="32" t="s">
        <v>43</v>
      </c>
      <c r="B107" s="32">
        <v>40</v>
      </c>
      <c r="C107" s="9" t="s">
        <v>60</v>
      </c>
      <c r="D107" s="32"/>
      <c r="E107" s="48"/>
      <c r="F107" s="62"/>
      <c r="G107" s="47">
        <f>1/40</f>
        <v>2.5000000000000001E-2</v>
      </c>
    </row>
    <row r="108" spans="1:7" x14ac:dyDescent="0.25">
      <c r="A108" s="32"/>
      <c r="B108" s="32"/>
      <c r="C108" s="9"/>
      <c r="D108" s="32" t="s">
        <v>47</v>
      </c>
      <c r="E108" s="48">
        <v>1</v>
      </c>
      <c r="F108" s="62">
        <f>1/40</f>
        <v>2.5000000000000001E-2</v>
      </c>
      <c r="G108" s="47"/>
    </row>
    <row r="109" spans="1:7" x14ac:dyDescent="0.25">
      <c r="A109" s="32"/>
      <c r="B109" s="32"/>
      <c r="C109" s="9"/>
      <c r="D109" s="32" t="s">
        <v>48</v>
      </c>
      <c r="E109" s="48">
        <v>0</v>
      </c>
      <c r="F109" s="62"/>
      <c r="G109" s="47"/>
    </row>
    <row r="110" spans="1:7" x14ac:dyDescent="0.25">
      <c r="A110" s="32"/>
      <c r="B110" s="32"/>
      <c r="C110" s="9"/>
      <c r="D110" s="32" t="s">
        <v>49</v>
      </c>
      <c r="E110" s="48">
        <v>0</v>
      </c>
      <c r="F110" s="62"/>
      <c r="G110" s="47"/>
    </row>
    <row r="111" spans="1:7" x14ac:dyDescent="0.25">
      <c r="A111" s="32"/>
      <c r="B111" s="32"/>
      <c r="C111" s="9"/>
      <c r="D111" s="32"/>
      <c r="E111" s="48"/>
      <c r="F111" s="62"/>
      <c r="G111" s="47"/>
    </row>
    <row r="112" spans="1:7" ht="30" x14ac:dyDescent="0.25">
      <c r="A112" s="32" t="s">
        <v>44</v>
      </c>
      <c r="B112" s="32">
        <v>100</v>
      </c>
      <c r="C112" s="9" t="s">
        <v>60</v>
      </c>
      <c r="D112" s="32"/>
      <c r="E112" s="48"/>
      <c r="F112" s="62"/>
      <c r="G112" s="47">
        <f>48/100</f>
        <v>0.48</v>
      </c>
    </row>
    <row r="113" spans="1:7" x14ac:dyDescent="0.25">
      <c r="A113" s="32"/>
      <c r="B113" s="32"/>
      <c r="C113" s="9"/>
      <c r="D113" s="32" t="s">
        <v>47</v>
      </c>
      <c r="E113" s="48">
        <v>48</v>
      </c>
      <c r="F113" s="62">
        <f>48/100</f>
        <v>0.48</v>
      </c>
      <c r="G113" s="47"/>
    </row>
    <row r="114" spans="1:7" x14ac:dyDescent="0.25">
      <c r="A114" s="32"/>
      <c r="B114" s="32"/>
      <c r="C114" s="9"/>
      <c r="D114" s="32" t="s">
        <v>48</v>
      </c>
      <c r="E114" s="48">
        <v>0</v>
      </c>
      <c r="F114" s="62"/>
      <c r="G114" s="47"/>
    </row>
    <row r="115" spans="1:7" x14ac:dyDescent="0.25">
      <c r="A115" s="32"/>
      <c r="B115" s="32"/>
      <c r="C115" s="9"/>
      <c r="D115" s="32" t="s">
        <v>49</v>
      </c>
      <c r="E115" s="48">
        <v>0</v>
      </c>
      <c r="F115" s="62"/>
      <c r="G115" s="47"/>
    </row>
    <row r="116" spans="1:7" x14ac:dyDescent="0.25">
      <c r="A116" s="32"/>
      <c r="B116" s="32"/>
      <c r="C116" s="9"/>
      <c r="D116" s="32"/>
      <c r="E116" s="48"/>
      <c r="F116" s="62"/>
      <c r="G116" s="47"/>
    </row>
    <row r="117" spans="1:7" ht="30" x14ac:dyDescent="0.25">
      <c r="A117" s="32" t="s">
        <v>45</v>
      </c>
      <c r="B117" s="32">
        <v>150</v>
      </c>
      <c r="C117" s="9" t="s">
        <v>60</v>
      </c>
      <c r="D117" s="32"/>
      <c r="E117" s="48"/>
      <c r="F117" s="62"/>
      <c r="G117" s="47">
        <f>73/150</f>
        <v>0.48666666666666669</v>
      </c>
    </row>
    <row r="118" spans="1:7" x14ac:dyDescent="0.25">
      <c r="A118" s="32"/>
      <c r="B118" s="32"/>
      <c r="C118" s="9"/>
      <c r="D118" s="32" t="s">
        <v>47</v>
      </c>
      <c r="E118" s="48">
        <v>73</v>
      </c>
      <c r="F118" s="62">
        <f>73/150</f>
        <v>0.48666666666666669</v>
      </c>
      <c r="G118" s="47"/>
    </row>
    <row r="119" spans="1:7" x14ac:dyDescent="0.25">
      <c r="A119" s="32"/>
      <c r="B119" s="32"/>
      <c r="C119" s="9"/>
      <c r="D119" s="32" t="s">
        <v>48</v>
      </c>
      <c r="E119" s="48">
        <v>0</v>
      </c>
      <c r="F119" s="62"/>
      <c r="G119" s="47"/>
    </row>
    <row r="120" spans="1:7" x14ac:dyDescent="0.25">
      <c r="A120" s="32"/>
      <c r="B120" s="32"/>
      <c r="C120" s="9"/>
      <c r="D120" s="32" t="s">
        <v>49</v>
      </c>
      <c r="E120" s="48">
        <v>0</v>
      </c>
      <c r="F120" s="62"/>
      <c r="G120" s="47"/>
    </row>
    <row r="121" spans="1:7" x14ac:dyDescent="0.25">
      <c r="A121" s="32"/>
      <c r="B121" s="32"/>
      <c r="C121" s="9"/>
      <c r="D121" s="32"/>
      <c r="E121" s="48"/>
      <c r="F121" s="62"/>
      <c r="G121" s="47"/>
    </row>
    <row r="122" spans="1:7" ht="30" x14ac:dyDescent="0.25">
      <c r="A122" s="32" t="s">
        <v>46</v>
      </c>
      <c r="B122" s="32">
        <v>20</v>
      </c>
      <c r="C122" s="9" t="s">
        <v>60</v>
      </c>
      <c r="D122" s="32"/>
      <c r="E122" s="48"/>
      <c r="F122" s="62"/>
      <c r="G122" s="47">
        <f>0/20</f>
        <v>0</v>
      </c>
    </row>
    <row r="123" spans="1:7" x14ac:dyDescent="0.25">
      <c r="A123" s="32"/>
      <c r="B123" s="32"/>
      <c r="C123" s="9"/>
      <c r="D123" s="32" t="s">
        <v>47</v>
      </c>
      <c r="E123" s="48">
        <v>0</v>
      </c>
      <c r="F123" s="62">
        <f>0/20</f>
        <v>0</v>
      </c>
      <c r="G123" s="47"/>
    </row>
    <row r="124" spans="1:7" x14ac:dyDescent="0.25">
      <c r="A124" s="32"/>
      <c r="B124" s="32"/>
      <c r="C124" s="9"/>
      <c r="D124" s="32" t="s">
        <v>48</v>
      </c>
      <c r="E124" s="48">
        <v>0</v>
      </c>
      <c r="F124" s="62"/>
      <c r="G124" s="47"/>
    </row>
    <row r="125" spans="1:7" x14ac:dyDescent="0.25">
      <c r="A125" s="32"/>
      <c r="B125" s="32"/>
      <c r="C125" s="9"/>
      <c r="D125" s="32" t="s">
        <v>49</v>
      </c>
      <c r="E125" s="48">
        <v>0</v>
      </c>
      <c r="F125" s="62"/>
      <c r="G125" s="47"/>
    </row>
    <row r="126" spans="1:7" x14ac:dyDescent="0.25">
      <c r="A126" s="158" t="s">
        <v>51</v>
      </c>
      <c r="B126" s="51"/>
    </row>
    <row r="127" spans="1:7" x14ac:dyDescent="0.25">
      <c r="A127" s="51"/>
      <c r="B127" s="51"/>
    </row>
    <row r="128" spans="1:7" x14ac:dyDescent="0.25">
      <c r="A128" s="51"/>
      <c r="B128" s="51"/>
    </row>
    <row r="129" spans="1:2" x14ac:dyDescent="0.25">
      <c r="A129" s="51"/>
      <c r="B129" s="51"/>
    </row>
    <row r="130" spans="1:2" x14ac:dyDescent="0.25">
      <c r="A130" s="45" t="s">
        <v>52</v>
      </c>
      <c r="B130" s="45">
        <v>150</v>
      </c>
    </row>
    <row r="131" spans="1:2" x14ac:dyDescent="0.25">
      <c r="A131" s="45" t="s">
        <v>53</v>
      </c>
      <c r="B131" s="45">
        <v>40</v>
      </c>
    </row>
    <row r="132" spans="1:2" x14ac:dyDescent="0.25">
      <c r="A132" s="45" t="s">
        <v>54</v>
      </c>
      <c r="B132" s="45">
        <v>20</v>
      </c>
    </row>
    <row r="133" spans="1:2" x14ac:dyDescent="0.25">
      <c r="A133" s="45" t="s">
        <v>55</v>
      </c>
      <c r="B133" s="45">
        <v>10</v>
      </c>
    </row>
    <row r="134" spans="1:2" x14ac:dyDescent="0.25">
      <c r="A134" s="45" t="s">
        <v>56</v>
      </c>
      <c r="B134" s="45">
        <v>100</v>
      </c>
    </row>
  </sheetData>
  <pageMargins left="0.7" right="0.7" top="0.75" bottom="0.75" header="0.3" footer="0.3"/>
  <pageSetup fitToHeight="8" orientation="portrait" r:id="rId1"/>
  <headerFooter>
    <oddFooter>&amp;LJune 2021
&amp;P</oddFooter>
  </headerFooter>
  <rowBreaks count="2" manualBreakCount="2">
    <brk id="125" max="16383" man="1"/>
    <brk id="134" max="6" man="1"/>
  </rowBreaks>
  <colBreaks count="1" manualBreakCount="1">
    <brk id="6" max="131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27A8B5-ABF4-4C1F-83C6-CCA5F3C8FB08}">
  <dimension ref="A1:H67"/>
  <sheetViews>
    <sheetView topLeftCell="A51" workbookViewId="0">
      <selection activeCell="B72" sqref="B72"/>
    </sheetView>
  </sheetViews>
  <sheetFormatPr defaultColWidth="18.5703125" defaultRowHeight="15" x14ac:dyDescent="0.25"/>
  <cols>
    <col min="1" max="1" width="11.140625" customWidth="1"/>
    <col min="2" max="2" width="8.7109375" style="90" bestFit="1" customWidth="1"/>
    <col min="3" max="3" width="8.140625" bestFit="1" customWidth="1"/>
    <col min="4" max="4" width="18.28515625" customWidth="1"/>
    <col min="5" max="5" width="11.140625" customWidth="1"/>
    <col min="6" max="6" width="17.28515625" customWidth="1"/>
    <col min="7" max="7" width="13.42578125" bestFit="1" customWidth="1"/>
    <col min="8" max="8" width="15.85546875" bestFit="1" customWidth="1"/>
  </cols>
  <sheetData>
    <row r="1" spans="1:8" ht="43.5" thickBot="1" x14ac:dyDescent="0.3">
      <c r="A1" s="68" t="s">
        <v>61</v>
      </c>
      <c r="B1" s="87" t="s">
        <v>62</v>
      </c>
      <c r="C1" s="68" t="s">
        <v>63</v>
      </c>
      <c r="D1" s="64" t="s">
        <v>68</v>
      </c>
      <c r="E1" s="65" t="s">
        <v>69</v>
      </c>
      <c r="F1" s="68" t="s">
        <v>70</v>
      </c>
      <c r="G1" s="68" t="s">
        <v>64</v>
      </c>
      <c r="H1" s="68" t="s">
        <v>67</v>
      </c>
    </row>
    <row r="2" spans="1:8" ht="15.75" thickBot="1" x14ac:dyDescent="0.3">
      <c r="A2" s="73" t="s">
        <v>11</v>
      </c>
      <c r="B2" s="88">
        <v>8.8800000000000004E-2</v>
      </c>
      <c r="C2" s="66">
        <v>150</v>
      </c>
      <c r="D2" s="66">
        <v>128</v>
      </c>
      <c r="E2" s="75">
        <f>(D2/C2)</f>
        <v>0.85333333333333339</v>
      </c>
      <c r="F2" s="66">
        <v>0</v>
      </c>
      <c r="G2" s="66">
        <f>SUM(D2+F2)</f>
        <v>128</v>
      </c>
      <c r="H2" s="75">
        <f>(G2)/C2</f>
        <v>0.85333333333333339</v>
      </c>
    </row>
    <row r="3" spans="1:8" ht="15.75" thickBot="1" x14ac:dyDescent="0.3">
      <c r="A3" s="74" t="s">
        <v>14</v>
      </c>
      <c r="B3" s="89">
        <v>0.25800000000000001</v>
      </c>
      <c r="C3" s="67">
        <v>40</v>
      </c>
      <c r="D3" s="67">
        <v>25</v>
      </c>
      <c r="E3" s="75">
        <f>(D3/C3)</f>
        <v>0.625</v>
      </c>
      <c r="F3" s="67">
        <v>4</v>
      </c>
      <c r="G3" s="66">
        <f>SUM(D3+F3)</f>
        <v>29</v>
      </c>
      <c r="H3" s="75">
        <f>(G3)/C3</f>
        <v>0.72499999999999998</v>
      </c>
    </row>
    <row r="4" spans="1:8" ht="15.75" thickBot="1" x14ac:dyDescent="0.3">
      <c r="A4" s="74" t="s">
        <v>13</v>
      </c>
      <c r="B4" s="89">
        <v>0.34320000000000001</v>
      </c>
      <c r="C4" s="67">
        <v>20</v>
      </c>
      <c r="D4" s="67">
        <v>14</v>
      </c>
      <c r="E4" s="75">
        <f>(D4/C4)</f>
        <v>0.7</v>
      </c>
      <c r="F4" s="67">
        <v>1</v>
      </c>
      <c r="G4" s="66">
        <f>SUM(D4+F4)</f>
        <v>15</v>
      </c>
      <c r="H4" s="75">
        <f>(G4)/C4</f>
        <v>0.75</v>
      </c>
    </row>
    <row r="5" spans="1:8" ht="15.75" thickBot="1" x14ac:dyDescent="0.3">
      <c r="A5" s="74" t="s">
        <v>12</v>
      </c>
      <c r="B5" s="89">
        <v>0.441</v>
      </c>
      <c r="C5" s="67">
        <v>10</v>
      </c>
      <c r="D5" s="67">
        <v>3</v>
      </c>
      <c r="E5" s="75">
        <f>(D5/C5)</f>
        <v>0.3</v>
      </c>
      <c r="F5" s="67">
        <v>4</v>
      </c>
      <c r="G5" s="66">
        <f>SUM(D5+F5)</f>
        <v>7</v>
      </c>
      <c r="H5" s="75">
        <f>(G5)/C5</f>
        <v>0.7</v>
      </c>
    </row>
    <row r="6" spans="1:8" ht="15.75" thickBot="1" x14ac:dyDescent="0.3">
      <c r="A6" s="74" t="s">
        <v>15</v>
      </c>
      <c r="B6" s="89">
        <v>0.44190000000000002</v>
      </c>
      <c r="C6" s="67">
        <v>100</v>
      </c>
      <c r="D6" s="67">
        <v>72</v>
      </c>
      <c r="E6" s="75">
        <f>(D6/C6)</f>
        <v>0.72</v>
      </c>
      <c r="F6" s="67">
        <v>8</v>
      </c>
      <c r="G6" s="66">
        <f>SUM(D6+F6)</f>
        <v>80</v>
      </c>
      <c r="H6" s="75">
        <f>(G6)/C6</f>
        <v>0.8</v>
      </c>
    </row>
    <row r="7" spans="1:8" ht="15.75" thickBot="1" x14ac:dyDescent="0.3">
      <c r="A7" s="92" t="s">
        <v>71</v>
      </c>
      <c r="B7" s="92">
        <f>AVERAGE(B2:B6)</f>
        <v>0.31457999999999997</v>
      </c>
      <c r="C7" s="89" t="s">
        <v>4</v>
      </c>
      <c r="D7" s="89" t="s">
        <v>4</v>
      </c>
      <c r="E7" s="93">
        <f t="shared" ref="E7:H7" si="0">AVERAGE(E2:E6)</f>
        <v>0.63966666666666661</v>
      </c>
      <c r="F7" s="89" t="s">
        <v>4</v>
      </c>
      <c r="G7" s="89" t="s">
        <v>4</v>
      </c>
      <c r="H7" s="93">
        <f t="shared" si="0"/>
        <v>0.76566666666666661</v>
      </c>
    </row>
    <row r="8" spans="1:8" ht="15.75" thickBot="1" x14ac:dyDescent="0.3">
      <c r="A8" s="76" t="s">
        <v>17</v>
      </c>
      <c r="B8" s="89">
        <v>0.57179999999999997</v>
      </c>
      <c r="C8" s="67">
        <v>150</v>
      </c>
      <c r="D8" s="67">
        <v>126</v>
      </c>
      <c r="E8" s="77">
        <f>(D8/C8)</f>
        <v>0.84</v>
      </c>
      <c r="F8" s="67">
        <v>6</v>
      </c>
      <c r="G8" s="66">
        <f>SUM(D8+F8)</f>
        <v>132</v>
      </c>
      <c r="H8" s="77">
        <f>(G8)/C8</f>
        <v>0.88</v>
      </c>
    </row>
    <row r="9" spans="1:8" ht="15.75" thickBot="1" x14ac:dyDescent="0.3">
      <c r="A9" s="76" t="s">
        <v>20</v>
      </c>
      <c r="B9" s="89">
        <v>0.95550000000000002</v>
      </c>
      <c r="C9" s="67">
        <v>40</v>
      </c>
      <c r="D9" s="67">
        <v>2</v>
      </c>
      <c r="E9" s="77">
        <f>(D9/C9)</f>
        <v>0.05</v>
      </c>
      <c r="F9" s="67">
        <v>8</v>
      </c>
      <c r="G9" s="66">
        <f>SUM(D9+F9)</f>
        <v>10</v>
      </c>
      <c r="H9" s="77">
        <f>(G9)/C9</f>
        <v>0.25</v>
      </c>
    </row>
    <row r="10" spans="1:8" ht="15.75" thickBot="1" x14ac:dyDescent="0.3">
      <c r="A10" s="76" t="s">
        <v>18</v>
      </c>
      <c r="B10" s="89">
        <v>1.0959000000000001</v>
      </c>
      <c r="C10" s="67">
        <v>20</v>
      </c>
      <c r="D10" s="67">
        <v>11</v>
      </c>
      <c r="E10" s="77">
        <f>(D10/C10)</f>
        <v>0.55000000000000004</v>
      </c>
      <c r="F10" s="67">
        <v>4</v>
      </c>
      <c r="G10" s="66">
        <f>SUM(D10+F10)</f>
        <v>15</v>
      </c>
      <c r="H10" s="77">
        <f>(G10)/C10</f>
        <v>0.75</v>
      </c>
    </row>
    <row r="11" spans="1:8" ht="15.75" thickBot="1" x14ac:dyDescent="0.3">
      <c r="A11" s="76" t="s">
        <v>16</v>
      </c>
      <c r="B11" s="89">
        <v>1.2</v>
      </c>
      <c r="C11" s="67">
        <v>10</v>
      </c>
      <c r="D11" s="67">
        <v>2</v>
      </c>
      <c r="E11" s="77">
        <f>(D11/C11)</f>
        <v>0.2</v>
      </c>
      <c r="F11" s="67">
        <v>1</v>
      </c>
      <c r="G11" s="66">
        <f>SUM(D11+F11)</f>
        <v>3</v>
      </c>
      <c r="H11" s="77">
        <f>(G11)/C11</f>
        <v>0.3</v>
      </c>
    </row>
    <row r="12" spans="1:8" ht="15.75" thickBot="1" x14ac:dyDescent="0.3">
      <c r="A12" s="76" t="s">
        <v>19</v>
      </c>
      <c r="B12" s="89">
        <v>1.2929999999999999</v>
      </c>
      <c r="C12" s="67">
        <v>100</v>
      </c>
      <c r="D12" s="67">
        <v>19</v>
      </c>
      <c r="E12" s="77">
        <f>(D12/C12)</f>
        <v>0.19</v>
      </c>
      <c r="F12" s="67">
        <v>16</v>
      </c>
      <c r="G12" s="66">
        <f>SUM(D12+F12)</f>
        <v>35</v>
      </c>
      <c r="H12" s="77">
        <f>(G12)/C12</f>
        <v>0.35</v>
      </c>
    </row>
    <row r="13" spans="1:8" s="1" customFormat="1" ht="15.75" thickBot="1" x14ac:dyDescent="0.3">
      <c r="A13" s="94" t="s">
        <v>71</v>
      </c>
      <c r="B13" s="94">
        <f>AVERAGE(B8:B12)</f>
        <v>1.0232399999999999</v>
      </c>
      <c r="C13" s="95" t="s">
        <v>4</v>
      </c>
      <c r="D13" s="95" t="s">
        <v>4</v>
      </c>
      <c r="E13" s="96">
        <f t="shared" ref="E13" si="1">AVERAGE(E8:E12)</f>
        <v>0.36599999999999999</v>
      </c>
      <c r="F13" s="95" t="s">
        <v>4</v>
      </c>
      <c r="G13" s="97" t="s">
        <v>4</v>
      </c>
      <c r="H13" s="96">
        <f t="shared" ref="H13" si="2">AVERAGE(H8:H12)</f>
        <v>0.50600000000000001</v>
      </c>
    </row>
    <row r="14" spans="1:8" ht="15.75" thickBot="1" x14ac:dyDescent="0.3">
      <c r="A14" s="78" t="s">
        <v>21</v>
      </c>
      <c r="B14" s="89">
        <v>1.3008</v>
      </c>
      <c r="C14" s="67">
        <v>150</v>
      </c>
      <c r="D14" s="67">
        <v>35</v>
      </c>
      <c r="E14" s="79">
        <f>(D14/C14)</f>
        <v>0.23333333333333334</v>
      </c>
      <c r="F14" s="67">
        <v>32</v>
      </c>
      <c r="G14" s="66">
        <f>SUM(D14+F14)</f>
        <v>67</v>
      </c>
      <c r="H14" s="79">
        <f>(G14)/C14</f>
        <v>0.44666666666666666</v>
      </c>
    </row>
    <row r="15" spans="1:8" ht="15.75" thickBot="1" x14ac:dyDescent="0.3">
      <c r="A15" s="78" t="s">
        <v>22</v>
      </c>
      <c r="B15" s="89">
        <v>1.35</v>
      </c>
      <c r="C15" s="67">
        <v>40</v>
      </c>
      <c r="D15" s="67">
        <v>4</v>
      </c>
      <c r="E15" s="79">
        <f>(D15/C15)</f>
        <v>0.1</v>
      </c>
      <c r="F15" s="67">
        <v>2</v>
      </c>
      <c r="G15" s="66">
        <f>SUM(D15+F15)</f>
        <v>6</v>
      </c>
      <c r="H15" s="79">
        <f>(G15)/C15</f>
        <v>0.15</v>
      </c>
    </row>
    <row r="16" spans="1:8" ht="15.75" thickBot="1" x14ac:dyDescent="0.3">
      <c r="A16" s="78" t="s">
        <v>23</v>
      </c>
      <c r="B16" s="89">
        <v>1.401</v>
      </c>
      <c r="C16" s="67">
        <v>20</v>
      </c>
      <c r="D16" s="67">
        <v>5</v>
      </c>
      <c r="E16" s="79">
        <f>(D16/C16)</f>
        <v>0.25</v>
      </c>
      <c r="F16" s="67">
        <v>2</v>
      </c>
      <c r="G16" s="66">
        <f>SUM(D16+F16)</f>
        <v>7</v>
      </c>
      <c r="H16" s="79">
        <f>(G16)/C16</f>
        <v>0.35</v>
      </c>
    </row>
    <row r="17" spans="1:8" ht="15.75" thickBot="1" x14ac:dyDescent="0.3">
      <c r="A17" s="78" t="s">
        <v>24</v>
      </c>
      <c r="B17" s="89">
        <v>1.44</v>
      </c>
      <c r="C17" s="67">
        <v>10</v>
      </c>
      <c r="D17" s="67">
        <v>0</v>
      </c>
      <c r="E17" s="79">
        <f>(D17/C17)</f>
        <v>0</v>
      </c>
      <c r="F17" s="67">
        <v>1</v>
      </c>
      <c r="G17" s="66">
        <f>SUM(D17+F17)</f>
        <v>1</v>
      </c>
      <c r="H17" s="79">
        <f>(G17)/C17</f>
        <v>0.1</v>
      </c>
    </row>
    <row r="18" spans="1:8" ht="15.75" thickBot="1" x14ac:dyDescent="0.3">
      <c r="A18" s="78" t="s">
        <v>25</v>
      </c>
      <c r="B18" s="89">
        <v>1.452</v>
      </c>
      <c r="C18" s="67">
        <v>100</v>
      </c>
      <c r="D18" s="67">
        <v>15</v>
      </c>
      <c r="E18" s="79">
        <f>(D18/C18)</f>
        <v>0.15</v>
      </c>
      <c r="F18" s="67">
        <v>18</v>
      </c>
      <c r="G18" s="66">
        <f>SUM(D18+F18)</f>
        <v>33</v>
      </c>
      <c r="H18" s="79">
        <f>(G18)/C18</f>
        <v>0.33</v>
      </c>
    </row>
    <row r="19" spans="1:8" s="1" customFormat="1" ht="15.75" thickBot="1" x14ac:dyDescent="0.3">
      <c r="A19" s="98" t="s">
        <v>71</v>
      </c>
      <c r="B19" s="98">
        <f>AVERAGE(B14:B18)</f>
        <v>1.38876</v>
      </c>
      <c r="C19" s="95" t="s">
        <v>4</v>
      </c>
      <c r="D19" s="95" t="s">
        <v>4</v>
      </c>
      <c r="E19" s="99">
        <f t="shared" ref="E19" si="3">AVERAGE(E14:E18)</f>
        <v>0.14666666666666667</v>
      </c>
      <c r="F19" s="95" t="s">
        <v>4</v>
      </c>
      <c r="G19" s="97" t="s">
        <v>4</v>
      </c>
      <c r="H19" s="99">
        <f t="shared" ref="H19" si="4">AVERAGE(H14:H18)</f>
        <v>0.27533333333333332</v>
      </c>
    </row>
    <row r="20" spans="1:8" ht="15.75" thickBot="1" x14ac:dyDescent="0.3">
      <c r="A20" s="80" t="s">
        <v>26</v>
      </c>
      <c r="B20" s="89">
        <v>1.6140000000000001</v>
      </c>
      <c r="C20" s="67">
        <v>150</v>
      </c>
      <c r="D20" s="67">
        <v>76</v>
      </c>
      <c r="E20" s="81">
        <f>(D20/C20)</f>
        <v>0.50666666666666671</v>
      </c>
      <c r="F20" s="67">
        <v>19</v>
      </c>
      <c r="G20" s="66">
        <f>SUM(D20+F20)</f>
        <v>95</v>
      </c>
      <c r="H20" s="86">
        <f>(G20)/C20</f>
        <v>0.6333333333333333</v>
      </c>
    </row>
    <row r="21" spans="1:8" ht="15.75" thickBot="1" x14ac:dyDescent="0.3">
      <c r="A21" s="80" t="s">
        <v>27</v>
      </c>
      <c r="B21" s="89">
        <v>1.6559999999999999</v>
      </c>
      <c r="C21" s="67">
        <v>40</v>
      </c>
      <c r="D21" s="67">
        <v>4</v>
      </c>
      <c r="E21" s="81">
        <f>(D21/C21)</f>
        <v>0.1</v>
      </c>
      <c r="F21" s="67">
        <v>4</v>
      </c>
      <c r="G21" s="66">
        <f>SUM(D21+F21)</f>
        <v>8</v>
      </c>
      <c r="H21" s="86">
        <f>(G21)/C21</f>
        <v>0.2</v>
      </c>
    </row>
    <row r="22" spans="1:8" ht="15.75" thickBot="1" x14ac:dyDescent="0.3">
      <c r="A22" s="80" t="s">
        <v>28</v>
      </c>
      <c r="B22" s="89">
        <v>1.7000999999999999</v>
      </c>
      <c r="C22" s="67">
        <v>20</v>
      </c>
      <c r="D22" s="67">
        <v>6</v>
      </c>
      <c r="E22" s="81">
        <f>(D22/C22)</f>
        <v>0.3</v>
      </c>
      <c r="F22" s="67">
        <v>1</v>
      </c>
      <c r="G22" s="66">
        <f>SUM(D22+F22)</f>
        <v>7</v>
      </c>
      <c r="H22" s="86">
        <f>(G22)/C22</f>
        <v>0.35</v>
      </c>
    </row>
    <row r="23" spans="1:8" ht="15.75" thickBot="1" x14ac:dyDescent="0.3">
      <c r="A23" s="80" t="s">
        <v>29</v>
      </c>
      <c r="B23" s="89">
        <v>1.9298999999999999</v>
      </c>
      <c r="C23" s="67">
        <v>10</v>
      </c>
      <c r="D23" s="67">
        <v>2</v>
      </c>
      <c r="E23" s="81">
        <f>(D23/C23)</f>
        <v>0.2</v>
      </c>
      <c r="F23" s="67">
        <v>1</v>
      </c>
      <c r="G23" s="66">
        <f>SUM(D23+F23)</f>
        <v>3</v>
      </c>
      <c r="H23" s="86">
        <f>(G23)/C23</f>
        <v>0.3</v>
      </c>
    </row>
    <row r="24" spans="1:8" ht="15.75" thickBot="1" x14ac:dyDescent="0.3">
      <c r="A24" s="80" t="s">
        <v>50</v>
      </c>
      <c r="B24" s="89">
        <v>4.4880000000000004</v>
      </c>
      <c r="C24" s="67">
        <v>100</v>
      </c>
      <c r="D24" s="67" t="s">
        <v>41</v>
      </c>
      <c r="E24" s="81" t="s">
        <v>41</v>
      </c>
      <c r="F24" s="67" t="s">
        <v>41</v>
      </c>
      <c r="G24" s="66" t="s">
        <v>41</v>
      </c>
      <c r="H24" s="86" t="s">
        <v>41</v>
      </c>
    </row>
    <row r="25" spans="1:8" s="1" customFormat="1" ht="15.75" thickBot="1" x14ac:dyDescent="0.3">
      <c r="A25" s="100" t="s">
        <v>71</v>
      </c>
      <c r="B25" s="100">
        <f>AVERAGE(B20:B24)</f>
        <v>2.2776000000000005</v>
      </c>
      <c r="C25" s="95" t="s">
        <v>4</v>
      </c>
      <c r="D25" s="95" t="s">
        <v>4</v>
      </c>
      <c r="E25" s="101">
        <f t="shared" ref="E25" si="5">AVERAGE(E20:E24)</f>
        <v>0.27666666666666667</v>
      </c>
      <c r="F25" s="95" t="s">
        <v>4</v>
      </c>
      <c r="G25" s="97" t="s">
        <v>4</v>
      </c>
      <c r="H25" s="102">
        <f t="shared" ref="H25" si="6">AVERAGE(H20:H24)</f>
        <v>0.37083333333333329</v>
      </c>
    </row>
    <row r="26" spans="1:8" ht="15.75" thickBot="1" x14ac:dyDescent="0.3">
      <c r="A26" s="82" t="s">
        <v>42</v>
      </c>
      <c r="B26" s="89" t="s">
        <v>41</v>
      </c>
      <c r="C26" s="67">
        <v>10</v>
      </c>
      <c r="D26" s="67">
        <v>0</v>
      </c>
      <c r="E26" s="83">
        <f>(D26/C26)</f>
        <v>0</v>
      </c>
      <c r="F26" s="67">
        <v>1</v>
      </c>
      <c r="G26" s="66">
        <f>SUM(D26+F26)</f>
        <v>1</v>
      </c>
      <c r="H26" s="83">
        <f>(G26)/C26</f>
        <v>0.1</v>
      </c>
    </row>
    <row r="27" spans="1:8" ht="15.75" thickBot="1" x14ac:dyDescent="0.3">
      <c r="A27" s="82" t="s">
        <v>43</v>
      </c>
      <c r="B27" s="89" t="s">
        <v>41</v>
      </c>
      <c r="C27" s="67">
        <v>40</v>
      </c>
      <c r="D27" s="67">
        <v>1</v>
      </c>
      <c r="E27" s="83">
        <f>(D27/C27)</f>
        <v>2.5000000000000001E-2</v>
      </c>
      <c r="F27" s="67">
        <v>0</v>
      </c>
      <c r="G27" s="66">
        <f>SUM(D27+F27)</f>
        <v>1</v>
      </c>
      <c r="H27" s="83">
        <f>(G27)/C27</f>
        <v>2.5000000000000001E-2</v>
      </c>
    </row>
    <row r="28" spans="1:8" ht="15.75" thickBot="1" x14ac:dyDescent="0.3">
      <c r="A28" s="82" t="s">
        <v>44</v>
      </c>
      <c r="B28" s="89" t="s">
        <v>41</v>
      </c>
      <c r="C28" s="67">
        <v>100</v>
      </c>
      <c r="D28" s="67">
        <v>48</v>
      </c>
      <c r="E28" s="83">
        <f>(D28/C28)</f>
        <v>0.48</v>
      </c>
      <c r="F28" s="67">
        <v>0</v>
      </c>
      <c r="G28" s="66">
        <f>SUM(D28+F28)</f>
        <v>48</v>
      </c>
      <c r="H28" s="83">
        <f>(G28)/C28</f>
        <v>0.48</v>
      </c>
    </row>
    <row r="29" spans="1:8" ht="15.75" thickBot="1" x14ac:dyDescent="0.3">
      <c r="A29" s="82" t="s">
        <v>45</v>
      </c>
      <c r="B29" s="89" t="s">
        <v>41</v>
      </c>
      <c r="C29" s="67">
        <v>150</v>
      </c>
      <c r="D29" s="67">
        <v>73</v>
      </c>
      <c r="E29" s="83">
        <f>(D29/C29)</f>
        <v>0.48666666666666669</v>
      </c>
      <c r="F29" s="67">
        <v>0</v>
      </c>
      <c r="G29" s="66">
        <f>SUM(D29+F29)</f>
        <v>73</v>
      </c>
      <c r="H29" s="83">
        <f>(G29)/C29</f>
        <v>0.48666666666666669</v>
      </c>
    </row>
    <row r="30" spans="1:8" ht="15.75" thickBot="1" x14ac:dyDescent="0.3">
      <c r="A30" s="82" t="s">
        <v>46</v>
      </c>
      <c r="B30" s="89" t="s">
        <v>41</v>
      </c>
      <c r="C30" s="67">
        <v>20</v>
      </c>
      <c r="D30" s="67">
        <v>0</v>
      </c>
      <c r="E30" s="83">
        <f>(D30/C30)</f>
        <v>0</v>
      </c>
      <c r="F30" s="67">
        <v>0</v>
      </c>
      <c r="G30" s="66">
        <f>SUM(D30+F30)</f>
        <v>0</v>
      </c>
      <c r="H30" s="83">
        <f>(G30)/C30</f>
        <v>0</v>
      </c>
    </row>
    <row r="31" spans="1:8" s="1" customFormat="1" ht="15.75" thickBot="1" x14ac:dyDescent="0.3">
      <c r="A31" s="103" t="s">
        <v>71</v>
      </c>
      <c r="B31" s="105" t="s">
        <v>4</v>
      </c>
      <c r="C31" s="95" t="s">
        <v>4</v>
      </c>
      <c r="D31" s="95" t="s">
        <v>4</v>
      </c>
      <c r="E31" s="104">
        <f t="shared" ref="E31" si="7">AVERAGE(E26:E30)</f>
        <v>0.19833333333333333</v>
      </c>
      <c r="F31" s="95" t="s">
        <v>4</v>
      </c>
      <c r="G31" s="97" t="s">
        <v>4</v>
      </c>
      <c r="H31" s="104">
        <f t="shared" ref="H31" si="8">AVERAGE(H26:H30)</f>
        <v>0.21833333333333335</v>
      </c>
    </row>
    <row r="32" spans="1:8" ht="28.5" customHeight="1" x14ac:dyDescent="0.25">
      <c r="A32" s="153" t="s">
        <v>72</v>
      </c>
      <c r="B32" s="152"/>
      <c r="C32" s="152"/>
      <c r="D32" s="152"/>
      <c r="E32" s="152"/>
      <c r="F32" s="152"/>
      <c r="G32" s="152"/>
      <c r="H32" s="152"/>
    </row>
    <row r="33" spans="1:6" x14ac:dyDescent="0.25">
      <c r="B33" s="91"/>
      <c r="C33" s="84"/>
      <c r="D33" s="85"/>
      <c r="E33" s="85"/>
      <c r="F33" s="85"/>
    </row>
    <row r="34" spans="1:6" ht="15.75" thickBot="1" x14ac:dyDescent="0.3"/>
    <row r="35" spans="1:6" ht="15.75" thickBot="1" x14ac:dyDescent="0.3">
      <c r="A35" s="107"/>
      <c r="B35" s="108"/>
      <c r="C35" s="109"/>
      <c r="D35" s="110"/>
    </row>
    <row r="36" spans="1:6" ht="57.75" thickBot="1" x14ac:dyDescent="0.3">
      <c r="A36" s="68" t="s">
        <v>61</v>
      </c>
      <c r="B36" s="87" t="s">
        <v>62</v>
      </c>
      <c r="C36" s="65" t="s">
        <v>69</v>
      </c>
      <c r="D36" s="68" t="s">
        <v>67</v>
      </c>
    </row>
    <row r="37" spans="1:6" ht="15.75" thickBot="1" x14ac:dyDescent="0.3">
      <c r="A37" s="73" t="s">
        <v>11</v>
      </c>
      <c r="B37" s="88">
        <v>8.8800000000000004E-2</v>
      </c>
      <c r="C37" s="75">
        <v>0.85333333333333339</v>
      </c>
      <c r="D37" s="75">
        <v>0.85333333333333339</v>
      </c>
    </row>
    <row r="38" spans="1:6" ht="15.75" thickBot="1" x14ac:dyDescent="0.3">
      <c r="A38" s="74" t="s">
        <v>14</v>
      </c>
      <c r="B38" s="89">
        <v>0.25800000000000001</v>
      </c>
      <c r="C38" s="75">
        <v>0.625</v>
      </c>
      <c r="D38" s="75">
        <v>0.72499999999999998</v>
      </c>
    </row>
    <row r="39" spans="1:6" ht="15.75" thickBot="1" x14ac:dyDescent="0.3">
      <c r="A39" s="74" t="s">
        <v>13</v>
      </c>
      <c r="B39" s="89">
        <v>0.34320000000000001</v>
      </c>
      <c r="C39" s="75">
        <v>0.7</v>
      </c>
      <c r="D39" s="75">
        <v>0.75</v>
      </c>
    </row>
    <row r="40" spans="1:6" ht="15.75" thickBot="1" x14ac:dyDescent="0.3">
      <c r="A40" s="74" t="s">
        <v>12</v>
      </c>
      <c r="B40" s="89">
        <v>0.441</v>
      </c>
      <c r="C40" s="75">
        <v>0.3</v>
      </c>
      <c r="D40" s="75">
        <v>0.7</v>
      </c>
    </row>
    <row r="41" spans="1:6" ht="15.75" thickBot="1" x14ac:dyDescent="0.3">
      <c r="A41" s="74" t="s">
        <v>15</v>
      </c>
      <c r="B41" s="89">
        <v>0.44190000000000002</v>
      </c>
      <c r="C41" s="75">
        <v>0.72</v>
      </c>
      <c r="D41" s="75">
        <v>0.8</v>
      </c>
    </row>
    <row r="42" spans="1:6" ht="15.75" thickBot="1" x14ac:dyDescent="0.3">
      <c r="A42" s="92" t="s">
        <v>71</v>
      </c>
      <c r="B42" s="92">
        <v>0.31457999999999997</v>
      </c>
      <c r="C42" s="93">
        <v>0.63966666666666661</v>
      </c>
      <c r="D42" s="93">
        <v>0.76566666666666661</v>
      </c>
    </row>
    <row r="43" spans="1:6" ht="15.75" thickBot="1" x14ac:dyDescent="0.3">
      <c r="A43" s="76" t="s">
        <v>17</v>
      </c>
      <c r="B43" s="89">
        <v>0.57179999999999997</v>
      </c>
      <c r="C43" s="77">
        <v>0.84</v>
      </c>
      <c r="D43" s="77">
        <v>0.88</v>
      </c>
    </row>
    <row r="44" spans="1:6" ht="15.75" thickBot="1" x14ac:dyDescent="0.3">
      <c r="A44" s="76" t="s">
        <v>20</v>
      </c>
      <c r="B44" s="89">
        <v>0.95550000000000002</v>
      </c>
      <c r="C44" s="77">
        <v>0.05</v>
      </c>
      <c r="D44" s="77">
        <v>0.25</v>
      </c>
    </row>
    <row r="45" spans="1:6" ht="15.75" thickBot="1" x14ac:dyDescent="0.3">
      <c r="A45" s="76" t="s">
        <v>18</v>
      </c>
      <c r="B45" s="89">
        <v>1.0959000000000001</v>
      </c>
      <c r="C45" s="77">
        <v>0.55000000000000004</v>
      </c>
      <c r="D45" s="77">
        <v>0.75</v>
      </c>
    </row>
    <row r="46" spans="1:6" ht="15.75" thickBot="1" x14ac:dyDescent="0.3">
      <c r="A46" s="76" t="s">
        <v>16</v>
      </c>
      <c r="B46" s="89">
        <v>1.2</v>
      </c>
      <c r="C46" s="77">
        <v>0.2</v>
      </c>
      <c r="D46" s="77">
        <v>0.3</v>
      </c>
    </row>
    <row r="47" spans="1:6" ht="15.75" thickBot="1" x14ac:dyDescent="0.3">
      <c r="A47" s="76" t="s">
        <v>19</v>
      </c>
      <c r="B47" s="89">
        <v>1.2929999999999999</v>
      </c>
      <c r="C47" s="77">
        <v>0.19</v>
      </c>
      <c r="D47" s="77">
        <v>0.35</v>
      </c>
    </row>
    <row r="48" spans="1:6" ht="15.75" thickBot="1" x14ac:dyDescent="0.3">
      <c r="A48" s="94" t="s">
        <v>71</v>
      </c>
      <c r="B48" s="94">
        <v>1.0232399999999999</v>
      </c>
      <c r="C48" s="96">
        <v>0.36599999999999999</v>
      </c>
      <c r="D48" s="96">
        <v>0.50600000000000001</v>
      </c>
    </row>
    <row r="49" spans="1:4" ht="15.75" thickBot="1" x14ac:dyDescent="0.3">
      <c r="A49" s="78" t="s">
        <v>21</v>
      </c>
      <c r="B49" s="89">
        <v>1.3008</v>
      </c>
      <c r="C49" s="79">
        <v>0.23333333333333334</v>
      </c>
      <c r="D49" s="79">
        <v>0.44666666666666666</v>
      </c>
    </row>
    <row r="50" spans="1:4" ht="15.75" thickBot="1" x14ac:dyDescent="0.3">
      <c r="A50" s="78" t="s">
        <v>22</v>
      </c>
      <c r="B50" s="89">
        <v>1.35</v>
      </c>
      <c r="C50" s="79">
        <v>0.1</v>
      </c>
      <c r="D50" s="79">
        <v>0.15</v>
      </c>
    </row>
    <row r="51" spans="1:4" ht="15.75" thickBot="1" x14ac:dyDescent="0.3">
      <c r="A51" s="78" t="s">
        <v>23</v>
      </c>
      <c r="B51" s="89">
        <v>1.401</v>
      </c>
      <c r="C51" s="79">
        <v>0.25</v>
      </c>
      <c r="D51" s="79">
        <v>0.35</v>
      </c>
    </row>
    <row r="52" spans="1:4" ht="15.75" thickBot="1" x14ac:dyDescent="0.3">
      <c r="A52" s="78" t="s">
        <v>24</v>
      </c>
      <c r="B52" s="89">
        <v>1.44</v>
      </c>
      <c r="C52" s="79">
        <v>0</v>
      </c>
      <c r="D52" s="79">
        <v>0.1</v>
      </c>
    </row>
    <row r="53" spans="1:4" ht="15.75" thickBot="1" x14ac:dyDescent="0.3">
      <c r="A53" s="78" t="s">
        <v>25</v>
      </c>
      <c r="B53" s="89">
        <v>1.452</v>
      </c>
      <c r="C53" s="79">
        <v>0.15</v>
      </c>
      <c r="D53" s="79">
        <v>0.33</v>
      </c>
    </row>
    <row r="54" spans="1:4" ht="15.75" thickBot="1" x14ac:dyDescent="0.3">
      <c r="A54" s="98" t="s">
        <v>71</v>
      </c>
      <c r="B54" s="98">
        <v>1.38876</v>
      </c>
      <c r="C54" s="99">
        <v>0.14666666666666667</v>
      </c>
      <c r="D54" s="99">
        <v>0.27533333333333332</v>
      </c>
    </row>
    <row r="55" spans="1:4" ht="15.75" thickBot="1" x14ac:dyDescent="0.3">
      <c r="A55" s="80" t="s">
        <v>26</v>
      </c>
      <c r="B55" s="89">
        <v>1.6140000000000001</v>
      </c>
      <c r="C55" s="81">
        <v>0.50666666666666671</v>
      </c>
      <c r="D55" s="86">
        <v>0.6333333333333333</v>
      </c>
    </row>
    <row r="56" spans="1:4" ht="15.75" thickBot="1" x14ac:dyDescent="0.3">
      <c r="A56" s="80" t="s">
        <v>27</v>
      </c>
      <c r="B56" s="89">
        <v>1.6559999999999999</v>
      </c>
      <c r="C56" s="81">
        <v>0.1</v>
      </c>
      <c r="D56" s="86">
        <v>0.2</v>
      </c>
    </row>
    <row r="57" spans="1:4" ht="15.75" thickBot="1" x14ac:dyDescent="0.3">
      <c r="A57" s="80" t="s">
        <v>28</v>
      </c>
      <c r="B57" s="89">
        <v>1.7000999999999999</v>
      </c>
      <c r="C57" s="81">
        <v>0.3</v>
      </c>
      <c r="D57" s="86">
        <v>0.35</v>
      </c>
    </row>
    <row r="58" spans="1:4" ht="15.75" thickBot="1" x14ac:dyDescent="0.3">
      <c r="A58" s="80" t="s">
        <v>29</v>
      </c>
      <c r="B58" s="89">
        <v>1.9298999999999999</v>
      </c>
      <c r="C58" s="81">
        <v>0.2</v>
      </c>
      <c r="D58" s="86">
        <v>0.3</v>
      </c>
    </row>
    <row r="59" spans="1:4" ht="15.75" thickBot="1" x14ac:dyDescent="0.3">
      <c r="A59" s="80" t="s">
        <v>73</v>
      </c>
      <c r="B59" s="89">
        <v>4.4880000000000004</v>
      </c>
      <c r="C59" s="81" t="s">
        <v>41</v>
      </c>
      <c r="D59" s="86" t="s">
        <v>41</v>
      </c>
    </row>
    <row r="60" spans="1:4" ht="15.75" thickBot="1" x14ac:dyDescent="0.3">
      <c r="A60" s="100" t="s">
        <v>71</v>
      </c>
      <c r="B60" s="100">
        <v>2.2776000000000005</v>
      </c>
      <c r="C60" s="101">
        <v>0.27666666666666667</v>
      </c>
      <c r="D60" s="102">
        <v>0.37083333333333329</v>
      </c>
    </row>
    <row r="61" spans="1:4" ht="15.75" thickBot="1" x14ac:dyDescent="0.3">
      <c r="A61" s="82" t="s">
        <v>42</v>
      </c>
      <c r="B61" s="89" t="s">
        <v>41</v>
      </c>
      <c r="C61" s="83">
        <v>0</v>
      </c>
      <c r="D61" s="83">
        <v>0.1</v>
      </c>
    </row>
    <row r="62" spans="1:4" ht="15.75" thickBot="1" x14ac:dyDescent="0.3">
      <c r="A62" s="82" t="s">
        <v>43</v>
      </c>
      <c r="B62" s="89" t="s">
        <v>41</v>
      </c>
      <c r="C62" s="83">
        <v>2.5000000000000001E-2</v>
      </c>
      <c r="D62" s="83">
        <v>2.5000000000000001E-2</v>
      </c>
    </row>
    <row r="63" spans="1:4" ht="15.75" thickBot="1" x14ac:dyDescent="0.3">
      <c r="A63" s="82" t="s">
        <v>44</v>
      </c>
      <c r="B63" s="89" t="s">
        <v>41</v>
      </c>
      <c r="C63" s="83">
        <v>0.48</v>
      </c>
      <c r="D63" s="83">
        <v>0.48</v>
      </c>
    </row>
    <row r="64" spans="1:4" ht="15.75" thickBot="1" x14ac:dyDescent="0.3">
      <c r="A64" s="82" t="s">
        <v>45</v>
      </c>
      <c r="B64" s="89" t="s">
        <v>41</v>
      </c>
      <c r="C64" s="83">
        <v>0.48666666666666669</v>
      </c>
      <c r="D64" s="83">
        <v>0.48666666666666669</v>
      </c>
    </row>
    <row r="65" spans="1:4" ht="15.75" thickBot="1" x14ac:dyDescent="0.3">
      <c r="A65" s="82" t="s">
        <v>46</v>
      </c>
      <c r="B65" s="89" t="s">
        <v>41</v>
      </c>
      <c r="C65" s="83">
        <v>0</v>
      </c>
      <c r="D65" s="83">
        <v>0</v>
      </c>
    </row>
    <row r="66" spans="1:4" ht="15.75" thickBot="1" x14ac:dyDescent="0.3">
      <c r="A66" s="103" t="s">
        <v>71</v>
      </c>
      <c r="B66" s="105" t="s">
        <v>4</v>
      </c>
      <c r="C66" s="104">
        <v>0.19833333333333333</v>
      </c>
      <c r="D66" s="104">
        <v>0.21833333333333335</v>
      </c>
    </row>
    <row r="67" spans="1:4" s="106" customFormat="1" ht="15.75" thickBot="1" x14ac:dyDescent="0.3">
      <c r="A67" s="154" t="s">
        <v>74</v>
      </c>
      <c r="B67" s="155"/>
      <c r="C67" s="155"/>
      <c r="D67" s="156"/>
    </row>
  </sheetData>
  <sortState xmlns:xlrd2="http://schemas.microsoft.com/office/spreadsheetml/2017/richdata2" ref="A2:H30">
    <sortCondition ref="B2:B30"/>
  </sortState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DAD2D-B1D1-4D3E-8FB3-97FAA7884B83}">
  <dimension ref="A1:M86"/>
  <sheetViews>
    <sheetView topLeftCell="A13" zoomScale="80" zoomScaleNormal="80" workbookViewId="0">
      <selection activeCell="G33" sqref="G33"/>
    </sheetView>
  </sheetViews>
  <sheetFormatPr defaultRowHeight="15" x14ac:dyDescent="0.25"/>
  <cols>
    <col min="1" max="1" width="19.140625" style="46" bestFit="1" customWidth="1"/>
    <col min="2" max="2" width="24" style="46" customWidth="1"/>
    <col min="3" max="3" width="18.5703125" style="53" bestFit="1" customWidth="1"/>
    <col min="4" max="4" width="10.42578125" style="46" customWidth="1"/>
    <col min="5" max="5" width="11.42578125" bestFit="1" customWidth="1"/>
    <col min="6" max="6" width="14.85546875" bestFit="1" customWidth="1"/>
    <col min="7" max="7" width="14.85546875" customWidth="1"/>
    <col min="8" max="8" width="16.5703125" bestFit="1" customWidth="1"/>
    <col min="9" max="9" width="15.140625" bestFit="1" customWidth="1"/>
    <col min="10" max="10" width="18.28515625" bestFit="1" customWidth="1"/>
    <col min="11" max="11" width="19" style="60" customWidth="1"/>
    <col min="12" max="15" width="19" customWidth="1"/>
  </cols>
  <sheetData>
    <row r="1" spans="1:13" ht="50.25" thickBot="1" x14ac:dyDescent="0.3">
      <c r="A1" s="139" t="s">
        <v>10</v>
      </c>
      <c r="B1" s="140" t="s">
        <v>59</v>
      </c>
      <c r="C1" s="141" t="s">
        <v>31</v>
      </c>
      <c r="D1"/>
      <c r="E1" s="56" t="s">
        <v>61</v>
      </c>
      <c r="F1" s="59" t="s">
        <v>62</v>
      </c>
      <c r="G1" s="59" t="s">
        <v>31</v>
      </c>
      <c r="H1" s="57" t="s">
        <v>63</v>
      </c>
      <c r="I1" s="57" t="s">
        <v>64</v>
      </c>
      <c r="J1" s="57" t="s">
        <v>65</v>
      </c>
      <c r="K1"/>
      <c r="L1" s="69" t="s">
        <v>62</v>
      </c>
      <c r="M1" s="57" t="s">
        <v>109</v>
      </c>
    </row>
    <row r="2" spans="1:13" ht="29.25" thickBot="1" x14ac:dyDescent="0.3">
      <c r="A2" s="137" t="s">
        <v>12</v>
      </c>
      <c r="B2" s="137">
        <v>10</v>
      </c>
      <c r="C2" s="138" t="s">
        <v>33</v>
      </c>
      <c r="D2"/>
      <c r="E2" s="146" t="s">
        <v>46</v>
      </c>
      <c r="F2" s="147" t="s">
        <v>41</v>
      </c>
      <c r="G2" s="147" t="s">
        <v>60</v>
      </c>
      <c r="H2" s="146">
        <v>20</v>
      </c>
      <c r="I2" s="146">
        <v>0</v>
      </c>
      <c r="J2" s="148">
        <v>0</v>
      </c>
      <c r="K2"/>
      <c r="L2" s="70">
        <v>1.9298999999999999</v>
      </c>
      <c r="M2" s="71">
        <v>0.3</v>
      </c>
    </row>
    <row r="3" spans="1:13" ht="29.25" thickBot="1" x14ac:dyDescent="0.3">
      <c r="A3" s="131" t="s">
        <v>13</v>
      </c>
      <c r="B3" s="131">
        <v>20</v>
      </c>
      <c r="C3" s="132" t="s">
        <v>34</v>
      </c>
      <c r="D3"/>
      <c r="E3" s="142" t="s">
        <v>43</v>
      </c>
      <c r="F3" s="143" t="s">
        <v>41</v>
      </c>
      <c r="G3" s="143" t="s">
        <v>60</v>
      </c>
      <c r="H3" s="142">
        <v>40</v>
      </c>
      <c r="I3" s="142">
        <v>1</v>
      </c>
      <c r="J3" s="144">
        <v>0.03</v>
      </c>
      <c r="K3"/>
      <c r="L3" s="70">
        <v>1.7000999999999999</v>
      </c>
      <c r="M3" s="71">
        <v>0.35</v>
      </c>
    </row>
    <row r="4" spans="1:13" ht="15.75" thickBot="1" x14ac:dyDescent="0.3">
      <c r="A4" s="131" t="s">
        <v>14</v>
      </c>
      <c r="B4" s="131">
        <v>40</v>
      </c>
      <c r="C4" s="132" t="s">
        <v>37</v>
      </c>
      <c r="D4"/>
      <c r="E4" s="142" t="s">
        <v>24</v>
      </c>
      <c r="F4" s="143">
        <v>1.44</v>
      </c>
      <c r="G4" s="143" t="s">
        <v>33</v>
      </c>
      <c r="H4" s="142">
        <v>10</v>
      </c>
      <c r="I4" s="142">
        <v>1</v>
      </c>
      <c r="J4" s="144">
        <v>0.1</v>
      </c>
      <c r="K4"/>
      <c r="L4" s="70">
        <v>1.6559999999999999</v>
      </c>
      <c r="M4" s="71">
        <v>0.2</v>
      </c>
    </row>
    <row r="5" spans="1:13" ht="30.75" thickBot="1" x14ac:dyDescent="0.3">
      <c r="A5" s="131" t="s">
        <v>11</v>
      </c>
      <c r="B5" s="131">
        <v>150</v>
      </c>
      <c r="C5" s="132" t="s">
        <v>36</v>
      </c>
      <c r="D5"/>
      <c r="E5" s="142" t="s">
        <v>42</v>
      </c>
      <c r="F5" s="143" t="s">
        <v>41</v>
      </c>
      <c r="G5" s="143" t="s">
        <v>60</v>
      </c>
      <c r="H5" s="142">
        <v>10</v>
      </c>
      <c r="I5" s="142">
        <v>1</v>
      </c>
      <c r="J5" s="144">
        <v>0.1</v>
      </c>
      <c r="K5"/>
      <c r="L5" s="70">
        <v>1.6140000000000001</v>
      </c>
      <c r="M5" s="71">
        <v>0.63</v>
      </c>
    </row>
    <row r="6" spans="1:13" ht="43.5" thickBot="1" x14ac:dyDescent="0.3">
      <c r="A6" s="131" t="s">
        <v>15</v>
      </c>
      <c r="B6" s="131">
        <v>100</v>
      </c>
      <c r="C6" s="132" t="s">
        <v>32</v>
      </c>
      <c r="D6"/>
      <c r="E6" s="142" t="s">
        <v>22</v>
      </c>
      <c r="F6" s="143">
        <v>1.35</v>
      </c>
      <c r="G6" s="143" t="s">
        <v>39</v>
      </c>
      <c r="H6" s="142">
        <v>40</v>
      </c>
      <c r="I6" s="142">
        <v>6</v>
      </c>
      <c r="J6" s="144">
        <v>0.15</v>
      </c>
      <c r="K6"/>
      <c r="L6" s="70">
        <v>1.452</v>
      </c>
      <c r="M6" s="71">
        <v>0.33</v>
      </c>
    </row>
    <row r="7" spans="1:13" ht="29.25" thickBot="1" x14ac:dyDescent="0.3">
      <c r="A7" s="131" t="s">
        <v>16</v>
      </c>
      <c r="B7" s="131">
        <v>10</v>
      </c>
      <c r="C7" s="132" t="s">
        <v>38</v>
      </c>
      <c r="D7"/>
      <c r="E7" s="142" t="s">
        <v>27</v>
      </c>
      <c r="F7" s="143">
        <v>1.6559999999999999</v>
      </c>
      <c r="G7" s="143" t="s">
        <v>38</v>
      </c>
      <c r="H7" s="142">
        <v>40</v>
      </c>
      <c r="I7" s="142">
        <v>8</v>
      </c>
      <c r="J7" s="144">
        <v>0.2</v>
      </c>
      <c r="K7"/>
      <c r="L7" s="70">
        <v>1.44</v>
      </c>
      <c r="M7" s="71">
        <v>0.1</v>
      </c>
    </row>
    <row r="8" spans="1:13" ht="29.25" thickBot="1" x14ac:dyDescent="0.3">
      <c r="A8" s="131" t="s">
        <v>17</v>
      </c>
      <c r="B8" s="131">
        <v>150</v>
      </c>
      <c r="C8" s="132" t="s">
        <v>34</v>
      </c>
      <c r="D8"/>
      <c r="E8" s="142" t="s">
        <v>20</v>
      </c>
      <c r="F8" s="143">
        <v>0.95550000000000002</v>
      </c>
      <c r="G8" s="143" t="s">
        <v>38</v>
      </c>
      <c r="H8" s="142">
        <v>40</v>
      </c>
      <c r="I8" s="142">
        <v>10</v>
      </c>
      <c r="J8" s="144">
        <v>0.25</v>
      </c>
      <c r="K8"/>
      <c r="L8" s="70">
        <v>1.401</v>
      </c>
      <c r="M8" s="71">
        <v>0.35</v>
      </c>
    </row>
    <row r="9" spans="1:13" ht="30.75" thickBot="1" x14ac:dyDescent="0.3">
      <c r="A9" s="131" t="s">
        <v>18</v>
      </c>
      <c r="B9" s="131">
        <v>20</v>
      </c>
      <c r="C9" s="132" t="s">
        <v>35</v>
      </c>
      <c r="D9"/>
      <c r="E9" s="142" t="s">
        <v>16</v>
      </c>
      <c r="F9" s="143">
        <v>1.2</v>
      </c>
      <c r="G9" s="143" t="s">
        <v>38</v>
      </c>
      <c r="H9" s="142">
        <v>10</v>
      </c>
      <c r="I9" s="142">
        <v>3</v>
      </c>
      <c r="J9" s="144">
        <v>0.3</v>
      </c>
      <c r="K9"/>
      <c r="L9" s="70">
        <v>1.35</v>
      </c>
      <c r="M9" s="71">
        <v>0.15</v>
      </c>
    </row>
    <row r="10" spans="1:13" ht="15.75" thickBot="1" x14ac:dyDescent="0.3">
      <c r="A10" s="131" t="s">
        <v>19</v>
      </c>
      <c r="B10" s="131">
        <v>100</v>
      </c>
      <c r="C10" s="132" t="s">
        <v>33</v>
      </c>
      <c r="D10"/>
      <c r="E10" s="142" t="s">
        <v>29</v>
      </c>
      <c r="F10" s="143">
        <v>1.9298999999999999</v>
      </c>
      <c r="G10" s="143" t="s">
        <v>33</v>
      </c>
      <c r="H10" s="142">
        <v>10</v>
      </c>
      <c r="I10" s="142">
        <v>3</v>
      </c>
      <c r="J10" s="144">
        <v>0.3</v>
      </c>
      <c r="K10"/>
      <c r="L10" s="70">
        <v>1.3008</v>
      </c>
      <c r="M10" s="71">
        <v>0.45</v>
      </c>
    </row>
    <row r="11" spans="1:13" ht="15.75" thickBot="1" x14ac:dyDescent="0.3">
      <c r="A11" s="131" t="s">
        <v>20</v>
      </c>
      <c r="B11" s="131">
        <v>40</v>
      </c>
      <c r="C11" s="132" t="s">
        <v>38</v>
      </c>
      <c r="D11"/>
      <c r="E11" s="142" t="s">
        <v>25</v>
      </c>
      <c r="F11" s="143">
        <v>1.452</v>
      </c>
      <c r="G11" s="143" t="s">
        <v>33</v>
      </c>
      <c r="H11" s="142">
        <v>100</v>
      </c>
      <c r="I11" s="142">
        <v>33</v>
      </c>
      <c r="J11" s="144">
        <v>0.33</v>
      </c>
      <c r="K11"/>
      <c r="L11" s="70">
        <v>1.2929999999999999</v>
      </c>
      <c r="M11" s="71">
        <v>0.35</v>
      </c>
    </row>
    <row r="12" spans="1:13" ht="15.75" thickBot="1" x14ac:dyDescent="0.3">
      <c r="A12" s="131" t="s">
        <v>24</v>
      </c>
      <c r="B12" s="131">
        <v>10</v>
      </c>
      <c r="C12" s="132" t="s">
        <v>33</v>
      </c>
      <c r="D12"/>
      <c r="E12" s="142" t="s">
        <v>19</v>
      </c>
      <c r="F12" s="143">
        <v>1.2929999999999999</v>
      </c>
      <c r="G12" s="143" t="s">
        <v>33</v>
      </c>
      <c r="H12" s="142">
        <v>100</v>
      </c>
      <c r="I12" s="142">
        <v>35</v>
      </c>
      <c r="J12" s="144">
        <v>0.35</v>
      </c>
      <c r="K12"/>
      <c r="L12" s="70">
        <v>1.2</v>
      </c>
      <c r="M12" s="71">
        <v>0.3</v>
      </c>
    </row>
    <row r="13" spans="1:13" ht="30.75" thickBot="1" x14ac:dyDescent="0.3">
      <c r="A13" s="131" t="s">
        <v>22</v>
      </c>
      <c r="B13" s="131">
        <v>40</v>
      </c>
      <c r="C13" s="132" t="s">
        <v>39</v>
      </c>
      <c r="D13"/>
      <c r="E13" s="142" t="s">
        <v>23</v>
      </c>
      <c r="F13" s="143">
        <v>1.401</v>
      </c>
      <c r="G13" s="143" t="s">
        <v>40</v>
      </c>
      <c r="H13" s="142">
        <v>20</v>
      </c>
      <c r="I13" s="142">
        <v>7</v>
      </c>
      <c r="J13" s="144">
        <v>0.35</v>
      </c>
      <c r="K13"/>
      <c r="L13" s="70">
        <v>1.0959000000000001</v>
      </c>
      <c r="M13" s="71">
        <v>0.75</v>
      </c>
    </row>
    <row r="14" spans="1:13" ht="30.75" thickBot="1" x14ac:dyDescent="0.3">
      <c r="A14" s="131" t="s">
        <v>23</v>
      </c>
      <c r="B14" s="131">
        <v>20</v>
      </c>
      <c r="C14" s="132" t="s">
        <v>40</v>
      </c>
      <c r="D14"/>
      <c r="E14" s="142" t="s">
        <v>28</v>
      </c>
      <c r="F14" s="143">
        <v>1.7000999999999999</v>
      </c>
      <c r="G14" s="143" t="s">
        <v>33</v>
      </c>
      <c r="H14" s="142">
        <v>20</v>
      </c>
      <c r="I14" s="142">
        <v>7</v>
      </c>
      <c r="J14" s="144">
        <v>0.35</v>
      </c>
      <c r="K14"/>
      <c r="L14" s="70">
        <v>0.95550000000000002</v>
      </c>
      <c r="M14" s="71">
        <v>0.25</v>
      </c>
    </row>
    <row r="15" spans="1:13" ht="15.75" thickBot="1" x14ac:dyDescent="0.3">
      <c r="A15" s="131" t="s">
        <v>21</v>
      </c>
      <c r="B15" s="131">
        <v>150</v>
      </c>
      <c r="C15" s="132" t="s">
        <v>33</v>
      </c>
      <c r="D15"/>
      <c r="E15" s="142" t="s">
        <v>21</v>
      </c>
      <c r="F15" s="143">
        <v>1.3008</v>
      </c>
      <c r="G15" s="143" t="s">
        <v>33</v>
      </c>
      <c r="H15" s="142">
        <v>150</v>
      </c>
      <c r="I15" s="142">
        <v>67</v>
      </c>
      <c r="J15" s="144">
        <v>0.45</v>
      </c>
      <c r="K15"/>
      <c r="L15" s="70">
        <v>0.57179999999999997</v>
      </c>
      <c r="M15" s="71">
        <v>0.87</v>
      </c>
    </row>
    <row r="16" spans="1:13" ht="29.25" thickBot="1" x14ac:dyDescent="0.3">
      <c r="A16" s="131" t="s">
        <v>25</v>
      </c>
      <c r="B16" s="131">
        <v>100</v>
      </c>
      <c r="C16" s="132" t="s">
        <v>33</v>
      </c>
      <c r="D16"/>
      <c r="E16" s="142" t="s">
        <v>44</v>
      </c>
      <c r="F16" s="143" t="s">
        <v>41</v>
      </c>
      <c r="G16" s="143" t="s">
        <v>60</v>
      </c>
      <c r="H16" s="142">
        <v>100</v>
      </c>
      <c r="I16" s="142">
        <v>48</v>
      </c>
      <c r="J16" s="144">
        <v>0.48</v>
      </c>
      <c r="K16"/>
      <c r="L16" s="70">
        <v>0.44190000000000002</v>
      </c>
      <c r="M16" s="71">
        <v>0.8</v>
      </c>
    </row>
    <row r="17" spans="1:13" ht="29.25" thickBot="1" x14ac:dyDescent="0.3">
      <c r="A17" s="131" t="s">
        <v>28</v>
      </c>
      <c r="B17" s="131">
        <v>20</v>
      </c>
      <c r="C17" s="132" t="s">
        <v>33</v>
      </c>
      <c r="D17"/>
      <c r="E17" s="142" t="s">
        <v>45</v>
      </c>
      <c r="F17" s="143" t="s">
        <v>41</v>
      </c>
      <c r="G17" s="143" t="s">
        <v>60</v>
      </c>
      <c r="H17" s="142">
        <v>150</v>
      </c>
      <c r="I17" s="142">
        <v>73</v>
      </c>
      <c r="J17" s="144">
        <v>0.49</v>
      </c>
      <c r="K17"/>
      <c r="L17" s="70">
        <v>0.441</v>
      </c>
      <c r="M17" s="71">
        <v>0.7</v>
      </c>
    </row>
    <row r="18" spans="1:13" ht="29.25" thickBot="1" x14ac:dyDescent="0.3">
      <c r="A18" s="159" t="s">
        <v>50</v>
      </c>
      <c r="B18" s="159">
        <v>100</v>
      </c>
      <c r="C18" s="132" t="s">
        <v>34</v>
      </c>
      <c r="D18"/>
      <c r="E18" s="142" t="s">
        <v>26</v>
      </c>
      <c r="F18" s="143">
        <v>1.6140000000000001</v>
      </c>
      <c r="G18" s="143" t="s">
        <v>34</v>
      </c>
      <c r="H18" s="142">
        <v>150</v>
      </c>
      <c r="I18" s="142">
        <v>95</v>
      </c>
      <c r="J18" s="144">
        <v>0.63</v>
      </c>
      <c r="K18"/>
      <c r="L18" s="70">
        <v>0.34320000000000001</v>
      </c>
      <c r="M18" s="71">
        <v>0.75</v>
      </c>
    </row>
    <row r="19" spans="1:13" ht="15.75" thickBot="1" x14ac:dyDescent="0.3">
      <c r="A19" s="131" t="s">
        <v>29</v>
      </c>
      <c r="B19" s="131">
        <v>10</v>
      </c>
      <c r="C19" s="132" t="s">
        <v>33</v>
      </c>
      <c r="D19"/>
      <c r="E19" s="142" t="s">
        <v>12</v>
      </c>
      <c r="F19" s="143">
        <v>0.441</v>
      </c>
      <c r="G19" s="143" t="s">
        <v>33</v>
      </c>
      <c r="H19" s="142">
        <v>10</v>
      </c>
      <c r="I19" s="142">
        <v>7</v>
      </c>
      <c r="J19" s="144">
        <v>0.7</v>
      </c>
      <c r="K19"/>
      <c r="L19" s="70">
        <v>0.25800000000000001</v>
      </c>
      <c r="M19" s="71">
        <v>0.73</v>
      </c>
    </row>
    <row r="20" spans="1:13" ht="29.25" thickBot="1" x14ac:dyDescent="0.3">
      <c r="A20" s="131" t="s">
        <v>27</v>
      </c>
      <c r="B20" s="131">
        <v>40</v>
      </c>
      <c r="C20" s="132" t="s">
        <v>38</v>
      </c>
      <c r="D20"/>
      <c r="E20" s="142" t="s">
        <v>14</v>
      </c>
      <c r="F20" s="143">
        <v>0.25800000000000001</v>
      </c>
      <c r="G20" s="143" t="s">
        <v>37</v>
      </c>
      <c r="H20" s="142">
        <v>40</v>
      </c>
      <c r="I20" s="142">
        <v>29</v>
      </c>
      <c r="J20" s="144">
        <v>0.73</v>
      </c>
      <c r="K20"/>
      <c r="L20" s="72">
        <v>8.8800000000000004E-2</v>
      </c>
      <c r="M20" s="58">
        <v>0.85</v>
      </c>
    </row>
    <row r="21" spans="1:13" ht="28.5" x14ac:dyDescent="0.25">
      <c r="A21" s="131" t="s">
        <v>26</v>
      </c>
      <c r="B21" s="131">
        <v>150</v>
      </c>
      <c r="C21" s="132" t="s">
        <v>34</v>
      </c>
      <c r="D21"/>
      <c r="E21" s="142" t="s">
        <v>13</v>
      </c>
      <c r="F21" s="143">
        <v>0.34320000000000001</v>
      </c>
      <c r="G21" s="143" t="s">
        <v>34</v>
      </c>
      <c r="H21" s="142">
        <v>20</v>
      </c>
      <c r="I21" s="142">
        <v>15</v>
      </c>
      <c r="J21" s="144">
        <v>0.75</v>
      </c>
      <c r="K21"/>
    </row>
    <row r="22" spans="1:13" ht="30" x14ac:dyDescent="0.25">
      <c r="A22" s="131" t="s">
        <v>42</v>
      </c>
      <c r="B22" s="131">
        <v>10</v>
      </c>
      <c r="C22" s="132" t="s">
        <v>60</v>
      </c>
      <c r="D22"/>
      <c r="E22" s="142" t="s">
        <v>18</v>
      </c>
      <c r="F22" s="143">
        <v>1.0959000000000001</v>
      </c>
      <c r="G22" s="143" t="s">
        <v>35</v>
      </c>
      <c r="H22" s="142">
        <v>20</v>
      </c>
      <c r="I22" s="142">
        <v>15</v>
      </c>
      <c r="J22" s="144">
        <v>0.75</v>
      </c>
      <c r="K22"/>
    </row>
    <row r="23" spans="1:13" ht="30" x14ac:dyDescent="0.25">
      <c r="A23" s="131" t="s">
        <v>43</v>
      </c>
      <c r="B23" s="131">
        <v>40</v>
      </c>
      <c r="C23" s="132" t="s">
        <v>60</v>
      </c>
      <c r="D23"/>
      <c r="E23" s="142" t="s">
        <v>15</v>
      </c>
      <c r="F23" s="143">
        <v>0.44190000000000002</v>
      </c>
      <c r="G23" s="143" t="s">
        <v>32</v>
      </c>
      <c r="H23" s="142">
        <v>100</v>
      </c>
      <c r="I23" s="142">
        <v>80</v>
      </c>
      <c r="J23" s="144">
        <v>0.8</v>
      </c>
      <c r="K23"/>
    </row>
    <row r="24" spans="1:13" ht="42.75" x14ac:dyDescent="0.25">
      <c r="A24" s="131" t="s">
        <v>44</v>
      </c>
      <c r="B24" s="131">
        <v>100</v>
      </c>
      <c r="C24" s="132" t="s">
        <v>60</v>
      </c>
      <c r="D24"/>
      <c r="E24" s="142" t="s">
        <v>11</v>
      </c>
      <c r="F24" s="143">
        <v>8.8800000000000004E-2</v>
      </c>
      <c r="G24" s="143" t="s">
        <v>36</v>
      </c>
      <c r="H24" s="142">
        <v>150</v>
      </c>
      <c r="I24" s="142">
        <v>128</v>
      </c>
      <c r="J24" s="144">
        <v>0.85</v>
      </c>
      <c r="K24"/>
    </row>
    <row r="25" spans="1:13" ht="30" x14ac:dyDescent="0.25">
      <c r="A25" s="131" t="s">
        <v>45</v>
      </c>
      <c r="B25" s="131">
        <v>150</v>
      </c>
      <c r="C25" s="132" t="s">
        <v>60</v>
      </c>
      <c r="D25"/>
      <c r="E25" s="142" t="s">
        <v>17</v>
      </c>
      <c r="F25" s="143">
        <v>0.57179999999999997</v>
      </c>
      <c r="G25" s="143" t="s">
        <v>34</v>
      </c>
      <c r="H25" s="142">
        <v>150</v>
      </c>
      <c r="I25" s="142">
        <v>132</v>
      </c>
      <c r="J25" s="144">
        <v>0.87</v>
      </c>
      <c r="K25"/>
    </row>
    <row r="26" spans="1:13" ht="30" x14ac:dyDescent="0.25">
      <c r="A26" s="131" t="s">
        <v>46</v>
      </c>
      <c r="B26" s="131">
        <v>20</v>
      </c>
      <c r="C26" s="132" t="s">
        <v>60</v>
      </c>
      <c r="D26"/>
      <c r="E26" s="142" t="s">
        <v>30</v>
      </c>
      <c r="F26" s="143">
        <v>4.4880000000000004</v>
      </c>
      <c r="G26" s="143" t="s">
        <v>34</v>
      </c>
      <c r="H26" s="142">
        <v>100</v>
      </c>
      <c r="I26" s="142" t="s">
        <v>41</v>
      </c>
      <c r="J26" s="145" t="s">
        <v>41</v>
      </c>
      <c r="K26"/>
    </row>
    <row r="27" spans="1:13" x14ac:dyDescent="0.25">
      <c r="A27" s="160" t="s">
        <v>51</v>
      </c>
      <c r="B27" s="150"/>
      <c r="C27" s="151"/>
      <c r="D27"/>
      <c r="K27"/>
    </row>
    <row r="28" spans="1:13" x14ac:dyDescent="0.25">
      <c r="A28" s="150"/>
      <c r="B28" s="150"/>
      <c r="C28" s="151"/>
    </row>
    <row r="29" spans="1:13" x14ac:dyDescent="0.25">
      <c r="B29" s="133"/>
      <c r="C29" s="134"/>
    </row>
    <row r="30" spans="1:13" x14ac:dyDescent="0.25">
      <c r="A30" s="133"/>
      <c r="B30" s="133"/>
      <c r="C30" s="134"/>
    </row>
    <row r="31" spans="1:13" x14ac:dyDescent="0.25">
      <c r="A31" s="149" t="s">
        <v>107</v>
      </c>
      <c r="B31" s="149" t="s">
        <v>108</v>
      </c>
      <c r="C31" s="134"/>
    </row>
    <row r="32" spans="1:13" x14ac:dyDescent="0.25">
      <c r="A32" s="135" t="s">
        <v>52</v>
      </c>
      <c r="B32" s="135">
        <v>150</v>
      </c>
      <c r="C32" s="134"/>
    </row>
    <row r="33" spans="1:3" x14ac:dyDescent="0.25">
      <c r="A33" s="135" t="s">
        <v>53</v>
      </c>
      <c r="B33" s="135">
        <v>40</v>
      </c>
      <c r="C33" s="134"/>
    </row>
    <row r="34" spans="1:3" x14ac:dyDescent="0.25">
      <c r="A34" s="135" t="s">
        <v>54</v>
      </c>
      <c r="B34" s="135">
        <v>20</v>
      </c>
      <c r="C34" s="134"/>
    </row>
    <row r="35" spans="1:3" x14ac:dyDescent="0.25">
      <c r="A35" s="135" t="s">
        <v>55</v>
      </c>
      <c r="B35" s="135">
        <v>10</v>
      </c>
      <c r="C35" s="134"/>
    </row>
    <row r="36" spans="1:3" x14ac:dyDescent="0.25">
      <c r="A36" s="135" t="s">
        <v>56</v>
      </c>
      <c r="B36" s="135">
        <v>100</v>
      </c>
      <c r="C36" s="134"/>
    </row>
    <row r="37" spans="1:3" x14ac:dyDescent="0.25">
      <c r="A37" s="136"/>
      <c r="B37" s="136"/>
      <c r="C37" s="134"/>
    </row>
    <row r="56" spans="1:11" x14ac:dyDescent="0.25">
      <c r="D56"/>
      <c r="K56"/>
    </row>
    <row r="57" spans="1:11" x14ac:dyDescent="0.25">
      <c r="C57" s="53" t="s">
        <v>4</v>
      </c>
      <c r="D57"/>
      <c r="K57"/>
    </row>
    <row r="58" spans="1:11" x14ac:dyDescent="0.25">
      <c r="C58"/>
      <c r="D58"/>
      <c r="K58"/>
    </row>
    <row r="59" spans="1:11" x14ac:dyDescent="0.25">
      <c r="C59"/>
      <c r="D59"/>
      <c r="K59"/>
    </row>
    <row r="60" spans="1:11" x14ac:dyDescent="0.25">
      <c r="A60"/>
      <c r="B60"/>
      <c r="C60"/>
      <c r="D60"/>
      <c r="K60"/>
    </row>
    <row r="61" spans="1:11" x14ac:dyDescent="0.25">
      <c r="A61"/>
      <c r="B61"/>
      <c r="C61"/>
      <c r="D61"/>
      <c r="K61"/>
    </row>
    <row r="62" spans="1:11" x14ac:dyDescent="0.25">
      <c r="A62"/>
      <c r="B62"/>
      <c r="C62"/>
      <c r="D62"/>
      <c r="K62"/>
    </row>
    <row r="63" spans="1:11" x14ac:dyDescent="0.25">
      <c r="A63"/>
      <c r="B63"/>
      <c r="C63"/>
      <c r="D63"/>
      <c r="K63"/>
    </row>
    <row r="64" spans="1:11" x14ac:dyDescent="0.25">
      <c r="A64"/>
      <c r="B64"/>
      <c r="C64"/>
      <c r="D64"/>
      <c r="K64"/>
    </row>
    <row r="65" spans="1:11" x14ac:dyDescent="0.25">
      <c r="A65"/>
      <c r="B65"/>
      <c r="C65"/>
      <c r="D65"/>
      <c r="K65"/>
    </row>
    <row r="66" spans="1:11" x14ac:dyDescent="0.25">
      <c r="A66"/>
      <c r="B66"/>
      <c r="C66"/>
      <c r="D66"/>
      <c r="K66"/>
    </row>
    <row r="67" spans="1:11" x14ac:dyDescent="0.25">
      <c r="A67"/>
      <c r="B67"/>
      <c r="C67"/>
      <c r="D67"/>
      <c r="K67"/>
    </row>
    <row r="68" spans="1:11" x14ac:dyDescent="0.25">
      <c r="A68"/>
      <c r="B68"/>
      <c r="C68"/>
      <c r="D68"/>
      <c r="K68"/>
    </row>
    <row r="69" spans="1:11" x14ac:dyDescent="0.25">
      <c r="A69"/>
      <c r="B69"/>
      <c r="C69"/>
      <c r="D69"/>
      <c r="K69"/>
    </row>
    <row r="70" spans="1:11" x14ac:dyDescent="0.25">
      <c r="A70"/>
      <c r="B70"/>
      <c r="C70"/>
      <c r="D70"/>
      <c r="K70"/>
    </row>
    <row r="71" spans="1:11" x14ac:dyDescent="0.25">
      <c r="A71"/>
      <c r="B71"/>
      <c r="C71"/>
      <c r="D71"/>
      <c r="K71"/>
    </row>
    <row r="72" spans="1:11" x14ac:dyDescent="0.25">
      <c r="A72"/>
      <c r="B72"/>
      <c r="C72"/>
      <c r="D72"/>
      <c r="K72"/>
    </row>
    <row r="73" spans="1:11" x14ac:dyDescent="0.25">
      <c r="A73"/>
      <c r="B73"/>
      <c r="C73"/>
      <c r="D73"/>
      <c r="K73"/>
    </row>
    <row r="74" spans="1:11" x14ac:dyDescent="0.25">
      <c r="A74"/>
      <c r="B74"/>
      <c r="C74"/>
      <c r="D74"/>
      <c r="K74"/>
    </row>
    <row r="75" spans="1:11" x14ac:dyDescent="0.25">
      <c r="A75"/>
      <c r="B75"/>
      <c r="C75"/>
      <c r="D75"/>
      <c r="K75"/>
    </row>
    <row r="76" spans="1:11" x14ac:dyDescent="0.25">
      <c r="A76"/>
      <c r="B76"/>
      <c r="C76"/>
      <c r="D76"/>
      <c r="K76"/>
    </row>
    <row r="77" spans="1:11" x14ac:dyDescent="0.25">
      <c r="A77"/>
      <c r="B77"/>
      <c r="C77"/>
      <c r="D77"/>
      <c r="K77"/>
    </row>
    <row r="78" spans="1:11" x14ac:dyDescent="0.25">
      <c r="A78"/>
      <c r="B78"/>
      <c r="C78"/>
      <c r="D78"/>
      <c r="K78"/>
    </row>
    <row r="79" spans="1:11" x14ac:dyDescent="0.25">
      <c r="A79"/>
      <c r="B79"/>
      <c r="C79"/>
      <c r="D79"/>
      <c r="K79"/>
    </row>
    <row r="80" spans="1:11" x14ac:dyDescent="0.25">
      <c r="A80"/>
      <c r="B80"/>
      <c r="C80"/>
      <c r="D80"/>
      <c r="K80"/>
    </row>
    <row r="81" spans="1:11" x14ac:dyDescent="0.25">
      <c r="A81"/>
      <c r="B81"/>
      <c r="C81"/>
      <c r="D81"/>
      <c r="K81"/>
    </row>
    <row r="82" spans="1:11" x14ac:dyDescent="0.25">
      <c r="A82"/>
      <c r="B82"/>
      <c r="C82"/>
      <c r="D82"/>
      <c r="K82"/>
    </row>
    <row r="83" spans="1:11" x14ac:dyDescent="0.25">
      <c r="A83"/>
      <c r="B83"/>
      <c r="C83"/>
      <c r="D83"/>
      <c r="K83"/>
    </row>
    <row r="84" spans="1:11" x14ac:dyDescent="0.25">
      <c r="A84"/>
      <c r="B84"/>
      <c r="C84"/>
      <c r="D84"/>
      <c r="K84"/>
    </row>
    <row r="85" spans="1:11" x14ac:dyDescent="0.25">
      <c r="A85"/>
      <c r="B85"/>
      <c r="C85"/>
    </row>
    <row r="86" spans="1:11" x14ac:dyDescent="0.25">
      <c r="A86"/>
      <c r="B86"/>
      <c r="C86"/>
    </row>
  </sheetData>
  <sortState xmlns:xlrd2="http://schemas.microsoft.com/office/spreadsheetml/2017/richdata2" ref="E2:J26">
    <sortCondition ref="J2:J26"/>
  </sortState>
  <conditionalFormatting sqref="L2:M20">
    <cfRule type="dataBar" priority="1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{6C856002-FDD6-46E8-95D0-1EEA69A2469F}</x14:id>
        </ext>
      </extLst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C856002-FDD6-46E8-95D0-1EEA69A2469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L2:M20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DOCUMENTATION (Metadata)</vt:lpstr>
      <vt:lpstr>Sample ID's</vt:lpstr>
      <vt:lpstr>TSS Data</vt:lpstr>
      <vt:lpstr>Results</vt:lpstr>
      <vt:lpstr>Veliger Recovery percentages</vt:lpstr>
      <vt:lpstr>Charts etc</vt:lpstr>
      <vt:lpstr>Results!Print_Area</vt:lpstr>
      <vt:lpstr>'Sample ID''s'!Print_Area</vt:lpstr>
      <vt:lpstr>'TSS Data'!Print_Area</vt:lpstr>
      <vt:lpstr>Results!Print_Titles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Quattlebaum, Rheannan (Annie)</dc:creator>
  <cp:lastModifiedBy>Quattlebaum, Rheannan (Annie)</cp:lastModifiedBy>
  <cp:lastPrinted>2021-08-10T21:54:57Z</cp:lastPrinted>
  <dcterms:created xsi:type="dcterms:W3CDTF">2021-03-03T19:37:31Z</dcterms:created>
  <dcterms:modified xsi:type="dcterms:W3CDTF">2021-09-29T17:42:55Z</dcterms:modified>
</cp:coreProperties>
</file>